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justineggar/Desktop/Projects/JE.com website/Downloads/"/>
    </mc:Choice>
  </mc:AlternateContent>
  <xr:revisionPtr revIDLastSave="0" documentId="13_ncr:1_{16E53AF8-D654-424D-9D04-FE2148B80B2B}" xr6:coauthVersionLast="47" xr6:coauthVersionMax="47" xr10:uidLastSave="{00000000-0000-0000-0000-000000000000}"/>
  <bookViews>
    <workbookView xWindow="0" yWindow="780" windowWidth="36000" windowHeight="21080" tabRatio="500" xr2:uid="{00000000-000D-0000-FFFF-FFFF00000000}"/>
  </bookViews>
  <sheets>
    <sheet name="Cover" sheetId="1" r:id="rId1"/>
    <sheet name="Assumptions" sheetId="2" r:id="rId2"/>
    <sheet name="Startup Costs" sheetId="3" r:id="rId3"/>
    <sheet name="Pro-Forma" sheetId="4" r:id="rId4"/>
    <sheet name="Cash Flow"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N9" i="5" l="1"/>
  <c r="BM9" i="5"/>
  <c r="BL9" i="5"/>
  <c r="BK9" i="5"/>
  <c r="BJ9" i="5"/>
  <c r="BI9" i="5"/>
  <c r="BH9" i="5"/>
  <c r="BG9" i="5"/>
  <c r="BF9" i="5"/>
  <c r="BD9" i="5"/>
  <c r="BC9" i="5"/>
  <c r="BA9" i="5"/>
  <c r="AZ9" i="5"/>
  <c r="AY9" i="5"/>
  <c r="AX9" i="5"/>
  <c r="AW9" i="5"/>
  <c r="AV9" i="5"/>
  <c r="AU9" i="5"/>
  <c r="AT9" i="5"/>
  <c r="AS9" i="5"/>
  <c r="AQ9" i="5"/>
  <c r="AP9" i="5"/>
  <c r="AN9" i="5"/>
  <c r="AM9" i="5"/>
  <c r="AL9" i="5"/>
  <c r="AK9" i="5"/>
  <c r="AJ9" i="5"/>
  <c r="AI9" i="5"/>
  <c r="AH9" i="5"/>
  <c r="AG9" i="5"/>
  <c r="AF9" i="5"/>
  <c r="AD9" i="5"/>
  <c r="AC9" i="5"/>
  <c r="AA9" i="5"/>
  <c r="Z9" i="5"/>
  <c r="Y9" i="5"/>
  <c r="X9" i="5"/>
  <c r="W9" i="5"/>
  <c r="V9" i="5"/>
  <c r="U9" i="5"/>
  <c r="T9" i="5"/>
  <c r="S9" i="5"/>
  <c r="Q9" i="5"/>
  <c r="P9" i="5"/>
  <c r="N9" i="5"/>
  <c r="M9" i="5"/>
  <c r="L9" i="5"/>
  <c r="K9" i="5"/>
  <c r="J9" i="5"/>
  <c r="I9" i="5"/>
  <c r="H9" i="5"/>
  <c r="G9" i="5"/>
  <c r="F9" i="5"/>
  <c r="E9" i="5"/>
  <c r="D9" i="5"/>
  <c r="C9" i="5"/>
  <c r="C6" i="5"/>
  <c r="O6" i="5" s="1"/>
  <c r="O39" i="4"/>
  <c r="BO26" i="4"/>
  <c r="BB26" i="4"/>
  <c r="AO26" i="4"/>
  <c r="AB26" i="4"/>
  <c r="O21" i="4"/>
  <c r="C20" i="4"/>
  <c r="O18" i="4"/>
  <c r="BO14" i="4"/>
  <c r="BB14" i="4"/>
  <c r="AO14" i="4"/>
  <c r="AB14" i="4"/>
  <c r="C14" i="4"/>
  <c r="O14" i="4" s="1"/>
  <c r="BO7" i="4"/>
  <c r="BB7" i="4"/>
  <c r="AO7" i="4"/>
  <c r="AB7" i="4"/>
  <c r="C7" i="4"/>
  <c r="C24" i="3"/>
  <c r="C15" i="3"/>
  <c r="C14" i="3"/>
  <c r="C13" i="3"/>
  <c r="C12" i="3"/>
  <c r="C11" i="3"/>
  <c r="C10" i="3"/>
  <c r="C9" i="3"/>
  <c r="C8" i="3"/>
  <c r="C7" i="3"/>
  <c r="C6" i="3"/>
  <c r="C5" i="3"/>
  <c r="C82" i="2"/>
  <c r="C81" i="2"/>
  <c r="C65" i="2"/>
  <c r="C35" i="2"/>
  <c r="C34" i="2"/>
  <c r="F29" i="2"/>
  <c r="F28" i="2"/>
  <c r="F27" i="2"/>
  <c r="F26" i="2"/>
  <c r="F25" i="2"/>
  <c r="F24" i="2"/>
  <c r="F23" i="2"/>
  <c r="F22" i="2"/>
  <c r="F21" i="2"/>
  <c r="F20" i="2"/>
  <c r="I12" i="2"/>
  <c r="H12" i="2"/>
  <c r="G12" i="2"/>
  <c r="F12" i="2"/>
  <c r="D6" i="4" l="1"/>
  <c r="D13" i="4" s="1"/>
  <c r="D19" i="4" s="1"/>
  <c r="E20" i="4" s="1"/>
  <c r="C9" i="4"/>
  <c r="C6" i="4"/>
  <c r="AA6" i="4"/>
  <c r="AA13" i="4" s="1"/>
  <c r="AY27" i="4"/>
  <c r="AL29" i="4"/>
  <c r="AD6" i="4"/>
  <c r="AD13" i="4" s="1"/>
  <c r="G28" i="4"/>
  <c r="BI30" i="4"/>
  <c r="AY30" i="4"/>
  <c r="AE30" i="4"/>
  <c r="U30" i="4"/>
  <c r="K30" i="4"/>
  <c r="BM30" i="4"/>
  <c r="AQ30" i="4"/>
  <c r="AF30" i="4"/>
  <c r="T30" i="4"/>
  <c r="I30" i="4"/>
  <c r="BL30" i="4"/>
  <c r="BA30" i="4"/>
  <c r="AP30" i="4"/>
  <c r="AD30" i="4"/>
  <c r="S30" i="4"/>
  <c r="H30" i="4"/>
  <c r="BK30" i="4"/>
  <c r="AZ30" i="4"/>
  <c r="AN30" i="4"/>
  <c r="AC30" i="4"/>
  <c r="R30" i="4"/>
  <c r="G30" i="4"/>
  <c r="BF30" i="4"/>
  <c r="AR30" i="4"/>
  <c r="Z30" i="4"/>
  <c r="L30" i="4"/>
  <c r="BE30" i="4"/>
  <c r="AM30" i="4"/>
  <c r="Y30" i="4"/>
  <c r="J30" i="4"/>
  <c r="BD30" i="4"/>
  <c r="AL30" i="4"/>
  <c r="X30" i="4"/>
  <c r="F30" i="4"/>
  <c r="BH30" i="4"/>
  <c r="AT30" i="4"/>
  <c r="N30" i="4"/>
  <c r="AV30" i="4"/>
  <c r="V30" i="4"/>
  <c r="AU30" i="4"/>
  <c r="Q30" i="4"/>
  <c r="AS30" i="4"/>
  <c r="P30" i="4"/>
  <c r="BJ30" i="4"/>
  <c r="AK30" i="4"/>
  <c r="BN30" i="4"/>
  <c r="AJ30" i="4"/>
  <c r="M30" i="4"/>
  <c r="AI30" i="4"/>
  <c r="E30" i="4"/>
  <c r="BG30" i="4"/>
  <c r="AH30" i="4"/>
  <c r="D30" i="4"/>
  <c r="BC30" i="4"/>
  <c r="AG30" i="4"/>
  <c r="AW30" i="4"/>
  <c r="W30" i="4"/>
  <c r="L6" i="4"/>
  <c r="L13" i="4" s="1"/>
  <c r="AJ6" i="4"/>
  <c r="AJ13" i="4" s="1"/>
  <c r="BJ6" i="4"/>
  <c r="BJ13" i="4" s="1"/>
  <c r="I28" i="4"/>
  <c r="C30" i="4"/>
  <c r="AA30" i="4"/>
  <c r="J27" i="4"/>
  <c r="BA6" i="4"/>
  <c r="BA13" i="4" s="1"/>
  <c r="BK28" i="4"/>
  <c r="BA28" i="4"/>
  <c r="AQ28" i="4"/>
  <c r="AG28" i="4"/>
  <c r="W28" i="4"/>
  <c r="M28" i="4"/>
  <c r="C28" i="4"/>
  <c r="BF27" i="4"/>
  <c r="AV27" i="4"/>
  <c r="AL27" i="4"/>
  <c r="R27" i="4"/>
  <c r="H27" i="4"/>
  <c r="BJ28" i="4"/>
  <c r="AZ28" i="4"/>
  <c r="AP28" i="4"/>
  <c r="AF28" i="4"/>
  <c r="V28" i="4"/>
  <c r="L28" i="4"/>
  <c r="BE27" i="4"/>
  <c r="AU27" i="4"/>
  <c r="AK27" i="4"/>
  <c r="AA27" i="4"/>
  <c r="Q27" i="4"/>
  <c r="G27" i="4"/>
  <c r="BI28" i="4"/>
  <c r="AY28" i="4"/>
  <c r="AE28" i="4"/>
  <c r="U28" i="4"/>
  <c r="K28" i="4"/>
  <c r="BN27" i="4"/>
  <c r="BD27" i="4"/>
  <c r="AT27" i="4"/>
  <c r="AJ27" i="4"/>
  <c r="Z27" i="4"/>
  <c r="P27" i="4"/>
  <c r="F27" i="4"/>
  <c r="BL28" i="4"/>
  <c r="AV28" i="4"/>
  <c r="AI28" i="4"/>
  <c r="S28" i="4"/>
  <c r="F28" i="4"/>
  <c r="BC27" i="4"/>
  <c r="AP27" i="4"/>
  <c r="AC27" i="4"/>
  <c r="M27" i="4"/>
  <c r="BG6" i="4"/>
  <c r="BG13" i="4" s="1"/>
  <c r="AW6" i="4"/>
  <c r="AW13" i="4" s="1"/>
  <c r="AM6" i="4"/>
  <c r="AM13" i="4" s="1"/>
  <c r="AC6" i="4"/>
  <c r="S6" i="4"/>
  <c r="S13" i="4" s="1"/>
  <c r="I6" i="4"/>
  <c r="I13" i="4" s="1"/>
  <c r="BH28" i="4"/>
  <c r="AU28" i="4"/>
  <c r="AH28" i="4"/>
  <c r="R28" i="4"/>
  <c r="E28" i="4"/>
  <c r="Y27" i="4"/>
  <c r="L27" i="4"/>
  <c r="BF6" i="4"/>
  <c r="BF13" i="4" s="1"/>
  <c r="AV6" i="4"/>
  <c r="AV13" i="4" s="1"/>
  <c r="AL6" i="4"/>
  <c r="AL13" i="4" s="1"/>
  <c r="R6" i="4"/>
  <c r="R13" i="4" s="1"/>
  <c r="H6" i="4"/>
  <c r="H13" i="4" s="1"/>
  <c r="C20" i="3"/>
  <c r="BG28" i="4"/>
  <c r="AT28" i="4"/>
  <c r="AD28" i="4"/>
  <c r="Q28" i="4"/>
  <c r="D28" i="4"/>
  <c r="BA27" i="4"/>
  <c r="AN27" i="4"/>
  <c r="X27" i="4"/>
  <c r="K27" i="4"/>
  <c r="BN28" i="4"/>
  <c r="AX28" i="4"/>
  <c r="AK28" i="4"/>
  <c r="X28" i="4"/>
  <c r="H28" i="4"/>
  <c r="AW28" i="4"/>
  <c r="Z28" i="4"/>
  <c r="BL27" i="4"/>
  <c r="AS27" i="4"/>
  <c r="W27" i="4"/>
  <c r="D27" i="4"/>
  <c r="BI6" i="4"/>
  <c r="BI13" i="4" s="1"/>
  <c r="AU6" i="4"/>
  <c r="AU13" i="4" s="1"/>
  <c r="AI6" i="4"/>
  <c r="AI13" i="4" s="1"/>
  <c r="W6" i="4"/>
  <c r="W13" i="4" s="1"/>
  <c r="K6" i="4"/>
  <c r="K13" i="4" s="1"/>
  <c r="BH6" i="4"/>
  <c r="BH13" i="4" s="1"/>
  <c r="AH6" i="4"/>
  <c r="AH13" i="4" s="1"/>
  <c r="J6" i="4"/>
  <c r="J13" i="4" s="1"/>
  <c r="F6" i="4"/>
  <c r="F13" i="4" s="1"/>
  <c r="AS28" i="4"/>
  <c r="Y28" i="4"/>
  <c r="BK27" i="4"/>
  <c r="AR27" i="4"/>
  <c r="V27" i="4"/>
  <c r="C27" i="4"/>
  <c r="AT6" i="4"/>
  <c r="AT13" i="4" s="1"/>
  <c r="V6" i="4"/>
  <c r="V13" i="4" s="1"/>
  <c r="AR28" i="4"/>
  <c r="T28" i="4"/>
  <c r="BJ27" i="4"/>
  <c r="AQ27" i="4"/>
  <c r="U27" i="4"/>
  <c r="BE6" i="4"/>
  <c r="BE13" i="4" s="1"/>
  <c r="AS6" i="4"/>
  <c r="AS13" i="4" s="1"/>
  <c r="AG6" i="4"/>
  <c r="AG13" i="4" s="1"/>
  <c r="U6" i="4"/>
  <c r="U13" i="4" s="1"/>
  <c r="G6" i="4"/>
  <c r="G13" i="4" s="1"/>
  <c r="BF28" i="4"/>
  <c r="N28" i="4"/>
  <c r="AN28" i="4"/>
  <c r="P28" i="4"/>
  <c r="BI27" i="4"/>
  <c r="AM27" i="4"/>
  <c r="T27" i="4"/>
  <c r="BD6" i="4"/>
  <c r="BD13" i="4" s="1"/>
  <c r="AR6" i="4"/>
  <c r="AR13" i="4" s="1"/>
  <c r="AF6" i="4"/>
  <c r="AF13" i="4" s="1"/>
  <c r="T6" i="4"/>
  <c r="T13" i="4" s="1"/>
  <c r="BM28" i="4"/>
  <c r="AM28" i="4"/>
  <c r="BH27" i="4"/>
  <c r="AI27" i="4"/>
  <c r="S27" i="4"/>
  <c r="BC6" i="4"/>
  <c r="AQ6" i="4"/>
  <c r="AQ13" i="4" s="1"/>
  <c r="AE6" i="4"/>
  <c r="AE13" i="4" s="1"/>
  <c r="Q6" i="4"/>
  <c r="Q13" i="4" s="1"/>
  <c r="E6" i="4"/>
  <c r="E13" i="4" s="1"/>
  <c r="AL28" i="4"/>
  <c r="BG27" i="4"/>
  <c r="AH27" i="4"/>
  <c r="BE28" i="4"/>
  <c r="AJ28" i="4"/>
  <c r="J28" i="4"/>
  <c r="AZ27" i="4"/>
  <c r="I29" i="4"/>
  <c r="AA28" i="4"/>
  <c r="BM27" i="4"/>
  <c r="AW27" i="4"/>
  <c r="AD27" i="4"/>
  <c r="E27" i="4"/>
  <c r="AF27" i="4"/>
  <c r="M6" i="4"/>
  <c r="M13" i="4" s="1"/>
  <c r="BK6" i="4"/>
  <c r="BK13" i="4" s="1"/>
  <c r="N6" i="4"/>
  <c r="N13" i="4" s="1"/>
  <c r="BL6" i="4"/>
  <c r="BL13" i="4" s="1"/>
  <c r="AC28" i="4"/>
  <c r="U29" i="4"/>
  <c r="BM6" i="4"/>
  <c r="BM13" i="4" s="1"/>
  <c r="N27" i="4"/>
  <c r="BC28" i="4"/>
  <c r="AP6" i="4"/>
  <c r="BD28" i="4"/>
  <c r="X6" i="4"/>
  <c r="X13" i="4" s="1"/>
  <c r="C22" i="4"/>
  <c r="C8" i="5"/>
  <c r="M29" i="4"/>
  <c r="Y6" i="4"/>
  <c r="Y13" i="4" s="1"/>
  <c r="AY6" i="4"/>
  <c r="AY13" i="4" s="1"/>
  <c r="AG27" i="4"/>
  <c r="C26" i="4"/>
  <c r="C19" i="3"/>
  <c r="C16" i="3"/>
  <c r="AK6" i="4"/>
  <c r="AK13" i="4" s="1"/>
  <c r="I27" i="4"/>
  <c r="AN6" i="4"/>
  <c r="AN13" i="4" s="1"/>
  <c r="AX30" i="4"/>
  <c r="P6" i="4"/>
  <c r="BN6" i="4"/>
  <c r="BN13" i="4" s="1"/>
  <c r="AE27" i="4"/>
  <c r="AX6" i="4"/>
  <c r="AX13" i="4" s="1"/>
  <c r="Z6" i="4"/>
  <c r="Z13" i="4" s="1"/>
  <c r="AZ6" i="4"/>
  <c r="AZ13" i="4" s="1"/>
  <c r="AX27" i="4"/>
  <c r="AK29" i="4"/>
  <c r="AI29" i="4"/>
  <c r="BM29" i="4"/>
  <c r="T29" i="4"/>
  <c r="AS29" i="4"/>
  <c r="AV29" i="4"/>
  <c r="BN29" i="4"/>
  <c r="BD29" i="4"/>
  <c r="AT29" i="4"/>
  <c r="AJ29" i="4"/>
  <c r="Z29" i="4"/>
  <c r="P29" i="4"/>
  <c r="BK29" i="4"/>
  <c r="AZ29" i="4"/>
  <c r="AD29" i="4"/>
  <c r="S29" i="4"/>
  <c r="H29" i="4"/>
  <c r="BJ29" i="4"/>
  <c r="AY29" i="4"/>
  <c r="AN29" i="4"/>
  <c r="AC29" i="4"/>
  <c r="R29" i="4"/>
  <c r="G29" i="4"/>
  <c r="BI29" i="4"/>
  <c r="AX29" i="4"/>
  <c r="AM29" i="4"/>
  <c r="Q29" i="4"/>
  <c r="F29" i="4"/>
  <c r="BG29" i="4"/>
  <c r="AR29" i="4"/>
  <c r="AA29" i="4"/>
  <c r="L29" i="4"/>
  <c r="C21" i="3"/>
  <c r="BF29" i="4"/>
  <c r="AQ29" i="4"/>
  <c r="Y29" i="4"/>
  <c r="K29" i="4"/>
  <c r="BE29" i="4"/>
  <c r="AP29" i="4"/>
  <c r="X29" i="4"/>
  <c r="J29" i="4"/>
  <c r="BL29" i="4"/>
  <c r="AU29" i="4"/>
  <c r="AF29" i="4"/>
  <c r="N29" i="4"/>
  <c r="V29" i="4"/>
  <c r="AW29" i="4"/>
  <c r="W29" i="4"/>
  <c r="BA29" i="4"/>
  <c r="C29" i="4"/>
  <c r="AE29" i="4"/>
  <c r="D29" i="4"/>
  <c r="AG29" i="4"/>
  <c r="BC29" i="4"/>
  <c r="E29" i="4"/>
  <c r="AH29" i="4"/>
  <c r="BH29" i="4"/>
  <c r="O7" i="4"/>
  <c r="O9" i="5"/>
  <c r="AE31" i="4" l="1"/>
  <c r="AE12" i="5" s="1"/>
  <c r="U31" i="4"/>
  <c r="U12" i="5" s="1"/>
  <c r="Q18" i="4"/>
  <c r="Q19" i="4" s="1"/>
  <c r="R20" i="4" s="1"/>
  <c r="F31" i="4"/>
  <c r="F12" i="5" s="1"/>
  <c r="S31" i="4"/>
  <c r="S12" i="5" s="1"/>
  <c r="AM31" i="4"/>
  <c r="AM12" i="5" s="1"/>
  <c r="AR31" i="4"/>
  <c r="AR12" i="5" s="1"/>
  <c r="Y31" i="4"/>
  <c r="Y12" i="5" s="1"/>
  <c r="O30" i="4"/>
  <c r="N31" i="4"/>
  <c r="N12" i="5" s="1"/>
  <c r="AD31" i="4"/>
  <c r="AD12" i="5" s="1"/>
  <c r="BG31" i="4"/>
  <c r="BG12" i="5" s="1"/>
  <c r="BJ31" i="4"/>
  <c r="BJ12" i="5" s="1"/>
  <c r="D31" i="4"/>
  <c r="D12" i="5" s="1"/>
  <c r="Z31" i="4"/>
  <c r="Z12" i="5" s="1"/>
  <c r="W31" i="4"/>
  <c r="W12" i="5" s="1"/>
  <c r="I31" i="4"/>
  <c r="I12" i="5" s="1"/>
  <c r="AP13" i="4"/>
  <c r="BB6" i="4"/>
  <c r="AI31" i="4"/>
  <c r="AI12" i="5" s="1"/>
  <c r="O41" i="4"/>
  <c r="O28" i="4"/>
  <c r="AG31" i="4"/>
  <c r="AG12" i="5" s="1"/>
  <c r="AF31" i="4"/>
  <c r="AF12" i="5" s="1"/>
  <c r="BI31" i="4"/>
  <c r="BI12" i="5" s="1"/>
  <c r="BK31" i="4"/>
  <c r="BK12" i="5" s="1"/>
  <c r="BO28" i="4"/>
  <c r="BO41" i="4"/>
  <c r="E31" i="4"/>
  <c r="E12" i="5" s="1"/>
  <c r="AH31" i="4"/>
  <c r="AH12" i="5" s="1"/>
  <c r="BH31" i="4"/>
  <c r="BH12" i="5" s="1"/>
  <c r="AB41" i="4"/>
  <c r="AB28" i="4"/>
  <c r="AQ31" i="4"/>
  <c r="AQ12" i="5" s="1"/>
  <c r="M31" i="4"/>
  <c r="M12" i="5" s="1"/>
  <c r="P31" i="4"/>
  <c r="AB27" i="4"/>
  <c r="BB41" i="4"/>
  <c r="BB28" i="4"/>
  <c r="AO30" i="4"/>
  <c r="AB6" i="4"/>
  <c r="P13" i="4"/>
  <c r="U18" i="4"/>
  <c r="AH18" i="4" s="1"/>
  <c r="H19" i="4"/>
  <c r="I20" i="4" s="1"/>
  <c r="AP31" i="4"/>
  <c r="BB27" i="4"/>
  <c r="AJ31" i="4"/>
  <c r="AJ12" i="5" s="1"/>
  <c r="Q31" i="4"/>
  <c r="Q12" i="5" s="1"/>
  <c r="L19" i="4"/>
  <c r="M20" i="4" s="1"/>
  <c r="Y18" i="4"/>
  <c r="AL18" i="4" s="1"/>
  <c r="AL19" i="4" s="1"/>
  <c r="AM20" i="4" s="1"/>
  <c r="M19" i="4"/>
  <c r="N20" i="4" s="1"/>
  <c r="Z18" i="4"/>
  <c r="Z19" i="4" s="1"/>
  <c r="AA20" i="4" s="1"/>
  <c r="BO29" i="4"/>
  <c r="AO27" i="4"/>
  <c r="AC31" i="4"/>
  <c r="AB29" i="4"/>
  <c r="BM31" i="4"/>
  <c r="BM12" i="5" s="1"/>
  <c r="R18" i="4"/>
  <c r="R19" i="4" s="1"/>
  <c r="S20" i="4" s="1"/>
  <c r="E19" i="4"/>
  <c r="F20" i="4" s="1"/>
  <c r="J19" i="4"/>
  <c r="K20" i="4" s="1"/>
  <c r="W18" i="4"/>
  <c r="W19" i="4" s="1"/>
  <c r="X20" i="4" s="1"/>
  <c r="AS31" i="4"/>
  <c r="AS12" i="5" s="1"/>
  <c r="X31" i="4"/>
  <c r="X12" i="5" s="1"/>
  <c r="BC31" i="4"/>
  <c r="BO27" i="4"/>
  <c r="AT31" i="4"/>
  <c r="AT12" i="5" s="1"/>
  <c r="AA31" i="4"/>
  <c r="AA12" i="5" s="1"/>
  <c r="H31" i="4"/>
  <c r="H12" i="5" s="1"/>
  <c r="AY31" i="4"/>
  <c r="AY12" i="5" s="1"/>
  <c r="AW31" i="4"/>
  <c r="AW12" i="5" s="1"/>
  <c r="AO29" i="4"/>
  <c r="C10" i="5"/>
  <c r="AO28" i="4"/>
  <c r="AO41" i="4"/>
  <c r="T18" i="4"/>
  <c r="AG18" i="4" s="1"/>
  <c r="G19" i="4"/>
  <c r="H20" i="4" s="1"/>
  <c r="BL31" i="4"/>
  <c r="BL12" i="5" s="1"/>
  <c r="AN31" i="4"/>
  <c r="AN12" i="5" s="1"/>
  <c r="I19" i="4"/>
  <c r="J20" i="4" s="1"/>
  <c r="V18" i="4"/>
  <c r="V19" i="4" s="1"/>
  <c r="W20" i="4" s="1"/>
  <c r="BD31" i="4"/>
  <c r="BD12" i="5" s="1"/>
  <c r="AK31" i="4"/>
  <c r="AK12" i="5" s="1"/>
  <c r="R31" i="4"/>
  <c r="R12" i="5" s="1"/>
  <c r="G31" i="4"/>
  <c r="G12" i="5" s="1"/>
  <c r="K31" i="4"/>
  <c r="K12" i="5" s="1"/>
  <c r="O29" i="4"/>
  <c r="BA31" i="4"/>
  <c r="BA12" i="5" s="1"/>
  <c r="BN31" i="4"/>
  <c r="BN12" i="5" s="1"/>
  <c r="AU31" i="4"/>
  <c r="AU12" i="5" s="1"/>
  <c r="AL31" i="4"/>
  <c r="AL12" i="5" s="1"/>
  <c r="C13" i="4"/>
  <c r="O6" i="4"/>
  <c r="C8" i="4"/>
  <c r="C10" i="4" s="1"/>
  <c r="BB29" i="4"/>
  <c r="C23" i="4"/>
  <c r="N19" i="4"/>
  <c r="P20" i="4" s="1"/>
  <c r="AA18" i="4"/>
  <c r="AA19" i="4" s="1"/>
  <c r="AC20" i="4" s="1"/>
  <c r="AZ31" i="4"/>
  <c r="AZ12" i="5" s="1"/>
  <c r="O27" i="4"/>
  <c r="K19" i="4"/>
  <c r="L20" i="4" s="1"/>
  <c r="X18" i="4"/>
  <c r="X19" i="4" s="1"/>
  <c r="Y20" i="4" s="1"/>
  <c r="AC13" i="4"/>
  <c r="AO6" i="4"/>
  <c r="BE31" i="4"/>
  <c r="BE12" i="5" s="1"/>
  <c r="AV31" i="4"/>
  <c r="AV12" i="5" s="1"/>
  <c r="J31" i="4"/>
  <c r="J12" i="5" s="1"/>
  <c r="BO30" i="4"/>
  <c r="O26" i="4"/>
  <c r="C31" i="4"/>
  <c r="C34" i="4" s="1"/>
  <c r="S18" i="4"/>
  <c r="AF18" i="4" s="1"/>
  <c r="F19" i="4"/>
  <c r="G20" i="4" s="1"/>
  <c r="AX31" i="4"/>
  <c r="AX12" i="5" s="1"/>
  <c r="C22" i="3"/>
  <c r="C25" i="3" s="1"/>
  <c r="BO6" i="4"/>
  <c r="BC13" i="4"/>
  <c r="T31" i="4"/>
  <c r="T12" i="5" s="1"/>
  <c r="V31" i="4"/>
  <c r="V12" i="5" s="1"/>
  <c r="L31" i="4"/>
  <c r="L12" i="5" s="1"/>
  <c r="BF31" i="4"/>
  <c r="BF12" i="5" s="1"/>
  <c r="AB30" i="4"/>
  <c r="BB30" i="4"/>
  <c r="E8" i="5"/>
  <c r="E10" i="5" s="1"/>
  <c r="E22" i="4"/>
  <c r="AI18" i="4" l="1"/>
  <c r="AV18" i="4" s="1"/>
  <c r="AD18" i="4"/>
  <c r="AN18" i="4"/>
  <c r="AN19" i="4" s="1"/>
  <c r="AP20" i="4" s="1"/>
  <c r="Y19" i="4"/>
  <c r="Z20" i="4" s="1"/>
  <c r="Z8" i="5" s="1"/>
  <c r="Z10" i="5" s="1"/>
  <c r="Z14" i="5" s="1"/>
  <c r="AJ18" i="4"/>
  <c r="AJ19" i="4" s="1"/>
  <c r="AK20" i="4" s="1"/>
  <c r="AK8" i="5" s="1"/>
  <c r="AK10" i="5" s="1"/>
  <c r="AK14" i="5" s="1"/>
  <c r="AI19" i="4"/>
  <c r="AJ20" i="4" s="1"/>
  <c r="AJ8" i="5" s="1"/>
  <c r="AJ10" i="5" s="1"/>
  <c r="AJ14" i="5" s="1"/>
  <c r="AA8" i="5"/>
  <c r="AA10" i="5" s="1"/>
  <c r="AA14" i="5" s="1"/>
  <c r="AA22" i="4"/>
  <c r="AA34" i="4" s="1"/>
  <c r="AM8" i="5"/>
  <c r="AM10" i="5" s="1"/>
  <c r="AM14" i="5" s="1"/>
  <c r="AM22" i="4"/>
  <c r="AM34" i="4" s="1"/>
  <c r="S22" i="4"/>
  <c r="S34" i="4" s="1"/>
  <c r="S8" i="5"/>
  <c r="S10" i="5" s="1"/>
  <c r="S14" i="5" s="1"/>
  <c r="AG19" i="4"/>
  <c r="AH20" i="4" s="1"/>
  <c r="AT18" i="4"/>
  <c r="AH19" i="4"/>
  <c r="AI20" i="4" s="1"/>
  <c r="AU18" i="4"/>
  <c r="BI18" i="4"/>
  <c r="BI19" i="4" s="1"/>
  <c r="BJ20" i="4" s="1"/>
  <c r="AV19" i="4"/>
  <c r="AW20" i="4" s="1"/>
  <c r="Y8" i="5"/>
  <c r="Y10" i="5" s="1"/>
  <c r="Y14" i="5" s="1"/>
  <c r="Y22" i="4"/>
  <c r="Y34" i="4" s="1"/>
  <c r="AF19" i="4"/>
  <c r="AG20" i="4" s="1"/>
  <c r="AS18" i="4"/>
  <c r="C35" i="4"/>
  <c r="C12" i="5"/>
  <c r="O12" i="5" s="1"/>
  <c r="O40" i="4"/>
  <c r="O31" i="4"/>
  <c r="X8" i="5"/>
  <c r="X10" i="5" s="1"/>
  <c r="X14" i="5" s="1"/>
  <c r="X22" i="4"/>
  <c r="X34" i="4" s="1"/>
  <c r="AE18" i="4"/>
  <c r="AK18" i="4"/>
  <c r="W22" i="4"/>
  <c r="W34" i="4" s="1"/>
  <c r="W8" i="5"/>
  <c r="W10" i="5" s="1"/>
  <c r="W14" i="5" s="1"/>
  <c r="H8" i="5"/>
  <c r="H10" i="5" s="1"/>
  <c r="H14" i="5" s="1"/>
  <c r="H22" i="4"/>
  <c r="H34" i="4" s="1"/>
  <c r="S19" i="4"/>
  <c r="T20" i="4" s="1"/>
  <c r="F8" i="5"/>
  <c r="F10" i="5" s="1"/>
  <c r="F14" i="5" s="1"/>
  <c r="F22" i="4"/>
  <c r="F34" i="4" s="1"/>
  <c r="P12" i="5"/>
  <c r="AB12" i="5" s="1"/>
  <c r="AB40" i="4"/>
  <c r="AB31" i="4"/>
  <c r="L8" i="5"/>
  <c r="L10" i="5" s="1"/>
  <c r="L14" i="5" s="1"/>
  <c r="L22" i="4"/>
  <c r="L34" i="4" s="1"/>
  <c r="BC12" i="5"/>
  <c r="BO12" i="5" s="1"/>
  <c r="BO31" i="4"/>
  <c r="BO40" i="4"/>
  <c r="C15" i="4"/>
  <c r="D9" i="4"/>
  <c r="D8" i="4"/>
  <c r="N8" i="5"/>
  <c r="N10" i="5" s="1"/>
  <c r="N14" i="5" s="1"/>
  <c r="N22" i="4"/>
  <c r="N34" i="4" s="1"/>
  <c r="J8" i="5"/>
  <c r="J10" i="5" s="1"/>
  <c r="J14" i="5" s="1"/>
  <c r="J22" i="4"/>
  <c r="J34" i="4" s="1"/>
  <c r="AY18" i="4"/>
  <c r="AP8" i="5"/>
  <c r="AP22" i="4"/>
  <c r="E14" i="5"/>
  <c r="AM18" i="4"/>
  <c r="U19" i="4"/>
  <c r="V20" i="4" s="1"/>
  <c r="R8" i="5"/>
  <c r="AC12" i="5"/>
  <c r="AO12" i="5" s="1"/>
  <c r="AO40" i="4"/>
  <c r="AO31" i="4"/>
  <c r="P8" i="5"/>
  <c r="P22" i="4"/>
  <c r="E34" i="4"/>
  <c r="C19" i="4"/>
  <c r="P18" i="4"/>
  <c r="AB18" i="4" s="1"/>
  <c r="O13" i="4"/>
  <c r="R21" i="4"/>
  <c r="R22" i="4" s="1"/>
  <c r="R34" i="4" s="1"/>
  <c r="M8" i="5"/>
  <c r="M10" i="5" s="1"/>
  <c r="M14" i="5" s="1"/>
  <c r="M22" i="4"/>
  <c r="M34" i="4" s="1"/>
  <c r="AE21" i="4"/>
  <c r="AB13" i="4"/>
  <c r="K8" i="5"/>
  <c r="K10" i="5" s="1"/>
  <c r="K14" i="5" s="1"/>
  <c r="K22" i="4"/>
  <c r="K34" i="4" s="1"/>
  <c r="BO13" i="4"/>
  <c r="AO13" i="4"/>
  <c r="AR21" i="4"/>
  <c r="AC8" i="5"/>
  <c r="AC22" i="4"/>
  <c r="T19" i="4"/>
  <c r="U20" i="4" s="1"/>
  <c r="AP12" i="5"/>
  <c r="BB12" i="5" s="1"/>
  <c r="BB40" i="4"/>
  <c r="BB31" i="4"/>
  <c r="G8" i="5"/>
  <c r="G10" i="5" s="1"/>
  <c r="G14" i="5" s="1"/>
  <c r="G22" i="4"/>
  <c r="G34" i="4" s="1"/>
  <c r="I8" i="5"/>
  <c r="I10" i="5" s="1"/>
  <c r="I14" i="5" s="1"/>
  <c r="I22" i="4"/>
  <c r="I34" i="4" s="1"/>
  <c r="BB13" i="4"/>
  <c r="BE21" i="4"/>
  <c r="Z22" i="4" l="1"/>
  <c r="Z34" i="4" s="1"/>
  <c r="AJ22" i="4"/>
  <c r="AJ34" i="4" s="1"/>
  <c r="AD19" i="4"/>
  <c r="AE20" i="4" s="1"/>
  <c r="AE8" i="5" s="1"/>
  <c r="AQ18" i="4"/>
  <c r="AW18" i="4"/>
  <c r="BJ18" i="4" s="1"/>
  <c r="BJ19" i="4" s="1"/>
  <c r="BK20" i="4" s="1"/>
  <c r="D10" i="4"/>
  <c r="E8" i="4" s="1"/>
  <c r="BA18" i="4"/>
  <c r="AK22" i="4"/>
  <c r="AK34" i="4" s="1"/>
  <c r="C14" i="5"/>
  <c r="C15" i="5" s="1"/>
  <c r="V8" i="5"/>
  <c r="V10" i="5" s="1"/>
  <c r="V14" i="5" s="1"/>
  <c r="V22" i="4"/>
  <c r="V34" i="4" s="1"/>
  <c r="BG18" i="4"/>
  <c r="BG19" i="4" s="1"/>
  <c r="BH20" i="4" s="1"/>
  <c r="AT19" i="4"/>
  <c r="AU20" i="4" s="1"/>
  <c r="T8" i="5"/>
  <c r="T10" i="5" s="1"/>
  <c r="T14" i="5" s="1"/>
  <c r="T22" i="4"/>
  <c r="T34" i="4" s="1"/>
  <c r="BJ8" i="5"/>
  <c r="BJ10" i="5" s="1"/>
  <c r="BJ14" i="5" s="1"/>
  <c r="BJ22" i="4"/>
  <c r="BJ34" i="4" s="1"/>
  <c r="AI8" i="5"/>
  <c r="AI10" i="5" s="1"/>
  <c r="AI14" i="5" s="1"/>
  <c r="AI22" i="4"/>
  <c r="AI34" i="4" s="1"/>
  <c r="AH8" i="5"/>
  <c r="AH10" i="5" s="1"/>
  <c r="AH14" i="5" s="1"/>
  <c r="AH22" i="4"/>
  <c r="AH34" i="4" s="1"/>
  <c r="U8" i="5"/>
  <c r="U10" i="5" s="1"/>
  <c r="U14" i="5" s="1"/>
  <c r="U22" i="4"/>
  <c r="U34" i="4" s="1"/>
  <c r="AU19" i="4"/>
  <c r="AV20" i="4" s="1"/>
  <c r="BH18" i="4"/>
  <c r="BH19" i="4" s="1"/>
  <c r="BI20" i="4" s="1"/>
  <c r="AY19" i="4"/>
  <c r="AZ20" i="4" s="1"/>
  <c r="BL18" i="4"/>
  <c r="BL19" i="4" s="1"/>
  <c r="BM20" i="4" s="1"/>
  <c r="BE9" i="5"/>
  <c r="BO9" i="5" s="1"/>
  <c r="BO21" i="4"/>
  <c r="BO39" i="4"/>
  <c r="AW22" i="4"/>
  <c r="AW34" i="4" s="1"/>
  <c r="AW8" i="5"/>
  <c r="AW10" i="5" s="1"/>
  <c r="AW14" i="5" s="1"/>
  <c r="R9" i="5"/>
  <c r="AB9" i="5" s="1"/>
  <c r="AB39" i="4"/>
  <c r="AB21" i="4"/>
  <c r="AC34" i="4"/>
  <c r="P34" i="4"/>
  <c r="AZ18" i="4"/>
  <c r="AM19" i="4"/>
  <c r="AN20" i="4" s="1"/>
  <c r="AC10" i="5"/>
  <c r="P19" i="4"/>
  <c r="D20" i="4"/>
  <c r="O19" i="4"/>
  <c r="P10" i="5"/>
  <c r="AK19" i="4"/>
  <c r="AL20" i="4" s="1"/>
  <c r="AX18" i="4"/>
  <c r="AE9" i="5"/>
  <c r="AO9" i="5" s="1"/>
  <c r="AO39" i="4"/>
  <c r="AO21" i="4"/>
  <c r="AP34" i="4"/>
  <c r="AR18" i="4"/>
  <c r="AE19" i="4"/>
  <c r="AF20" i="4" s="1"/>
  <c r="AS19" i="4"/>
  <c r="AT20" i="4" s="1"/>
  <c r="BF18" i="4"/>
  <c r="BF19" i="4" s="1"/>
  <c r="BG20" i="4" s="1"/>
  <c r="BB39" i="4"/>
  <c r="AR9" i="5"/>
  <c r="BB9" i="5" s="1"/>
  <c r="BB21" i="4"/>
  <c r="AC18" i="4"/>
  <c r="AP10" i="5"/>
  <c r="AG22" i="4"/>
  <c r="AG34" i="4" s="1"/>
  <c r="AG8" i="5"/>
  <c r="AG10" i="5" s="1"/>
  <c r="AG14" i="5" s="1"/>
  <c r="AW19" i="4" l="1"/>
  <c r="AX20" i="4" s="1"/>
  <c r="AE22" i="4"/>
  <c r="AE34" i="4" s="1"/>
  <c r="AQ19" i="4"/>
  <c r="AR20" i="4" s="1"/>
  <c r="BD18" i="4"/>
  <c r="BD19" i="4" s="1"/>
  <c r="BE20" i="4" s="1"/>
  <c r="D15" i="4"/>
  <c r="E9" i="4"/>
  <c r="E10" i="4" s="1"/>
  <c r="BA19" i="4"/>
  <c r="BC20" i="4" s="1"/>
  <c r="BN18" i="4"/>
  <c r="BN19" i="4" s="1"/>
  <c r="AE10" i="5"/>
  <c r="AE14" i="5" s="1"/>
  <c r="R10" i="5"/>
  <c r="R14" i="5" s="1"/>
  <c r="AF8" i="5"/>
  <c r="AF10" i="5" s="1"/>
  <c r="AF14" i="5" s="1"/>
  <c r="AF22" i="4"/>
  <c r="AF34" i="4" s="1"/>
  <c r="AP14" i="5"/>
  <c r="BE18" i="4"/>
  <c r="BE19" i="4" s="1"/>
  <c r="BF20" i="4" s="1"/>
  <c r="AR19" i="4"/>
  <c r="AS20" i="4" s="1"/>
  <c r="BM8" i="5"/>
  <c r="BM10" i="5" s="1"/>
  <c r="BM14" i="5" s="1"/>
  <c r="BM22" i="4"/>
  <c r="BM34" i="4" s="1"/>
  <c r="AX8" i="5"/>
  <c r="AX10" i="5" s="1"/>
  <c r="AX14" i="5" s="1"/>
  <c r="AX22" i="4"/>
  <c r="AX34" i="4" s="1"/>
  <c r="AZ8" i="5"/>
  <c r="AZ10" i="5" s="1"/>
  <c r="AZ14" i="5" s="1"/>
  <c r="AZ22" i="4"/>
  <c r="AZ34" i="4" s="1"/>
  <c r="D6" i="5"/>
  <c r="C17" i="5"/>
  <c r="AC14" i="5"/>
  <c r="AO18" i="4"/>
  <c r="AP18" i="4"/>
  <c r="AC19" i="4"/>
  <c r="P14" i="5"/>
  <c r="AN8" i="5"/>
  <c r="AN10" i="5" s="1"/>
  <c r="AN14" i="5" s="1"/>
  <c r="AN22" i="4"/>
  <c r="AN34" i="4" s="1"/>
  <c r="AZ19" i="4"/>
  <c r="BA20" i="4" s="1"/>
  <c r="BM18" i="4"/>
  <c r="BM19" i="4" s="1"/>
  <c r="BN20" i="4" s="1"/>
  <c r="BI8" i="5"/>
  <c r="BI10" i="5" s="1"/>
  <c r="BI14" i="5" s="1"/>
  <c r="BI22" i="4"/>
  <c r="BI34" i="4" s="1"/>
  <c r="D8" i="5"/>
  <c r="D22" i="4"/>
  <c r="O38" i="4"/>
  <c r="O20" i="4"/>
  <c r="AV8" i="5"/>
  <c r="AV10" i="5" s="1"/>
  <c r="AV14" i="5" s="1"/>
  <c r="AV22" i="4"/>
  <c r="AV34" i="4" s="1"/>
  <c r="BG22" i="4"/>
  <c r="BG34" i="4" s="1"/>
  <c r="BG8" i="5"/>
  <c r="BG10" i="5" s="1"/>
  <c r="BG14" i="5" s="1"/>
  <c r="Q20" i="4"/>
  <c r="AB19" i="4"/>
  <c r="AU8" i="5"/>
  <c r="AU10" i="5" s="1"/>
  <c r="AU14" i="5" s="1"/>
  <c r="AU22" i="4"/>
  <c r="AU34" i="4" s="1"/>
  <c r="AT8" i="5"/>
  <c r="AT10" i="5" s="1"/>
  <c r="AT14" i="5" s="1"/>
  <c r="AT22" i="4"/>
  <c r="AT34" i="4" s="1"/>
  <c r="BK18" i="4"/>
  <c r="BK19" i="4" s="1"/>
  <c r="BL20" i="4" s="1"/>
  <c r="AX19" i="4"/>
  <c r="AY20" i="4" s="1"/>
  <c r="BH8" i="5"/>
  <c r="BH10" i="5" s="1"/>
  <c r="BH14" i="5" s="1"/>
  <c r="BH22" i="4"/>
  <c r="BH34" i="4" s="1"/>
  <c r="AL8" i="5"/>
  <c r="AL10" i="5" s="1"/>
  <c r="AL14" i="5" s="1"/>
  <c r="AL22" i="4"/>
  <c r="AL34" i="4" s="1"/>
  <c r="BK22" i="4"/>
  <c r="BK34" i="4" s="1"/>
  <c r="BK8" i="5"/>
  <c r="BK10" i="5" s="1"/>
  <c r="BK14" i="5" s="1"/>
  <c r="BE22" i="4" l="1"/>
  <c r="BE34" i="4" s="1"/>
  <c r="BE8" i="5"/>
  <c r="BE10" i="5" s="1"/>
  <c r="BE14" i="5" s="1"/>
  <c r="AR8" i="5"/>
  <c r="AR10" i="5" s="1"/>
  <c r="AR14" i="5" s="1"/>
  <c r="AR22" i="4"/>
  <c r="AR34" i="4" s="1"/>
  <c r="BC22" i="4"/>
  <c r="BC34" i="4" s="1"/>
  <c r="BC8" i="5"/>
  <c r="BC10" i="5" s="1"/>
  <c r="BC14" i="5" s="1"/>
  <c r="BL8" i="5"/>
  <c r="BL10" i="5" s="1"/>
  <c r="BL14" i="5" s="1"/>
  <c r="BL22" i="4"/>
  <c r="BL34" i="4" s="1"/>
  <c r="BN8" i="5"/>
  <c r="BN10" i="5" s="1"/>
  <c r="BN14" i="5" s="1"/>
  <c r="BN22" i="4"/>
  <c r="BN34" i="4" s="1"/>
  <c r="BA22" i="4"/>
  <c r="BA34" i="4" s="1"/>
  <c r="BA8" i="5"/>
  <c r="BA10" i="5" s="1"/>
  <c r="BA14" i="5" s="1"/>
  <c r="AS8" i="5"/>
  <c r="AS10" i="5" s="1"/>
  <c r="AS14" i="5" s="1"/>
  <c r="AS22" i="4"/>
  <c r="AS34" i="4" s="1"/>
  <c r="O42" i="4"/>
  <c r="O46" i="4" s="1"/>
  <c r="O45" i="4"/>
  <c r="O43" i="4"/>
  <c r="BF8" i="5"/>
  <c r="BF10" i="5" s="1"/>
  <c r="BF14" i="5" s="1"/>
  <c r="BF22" i="4"/>
  <c r="BF34" i="4" s="1"/>
  <c r="D34" i="4"/>
  <c r="O22" i="4"/>
  <c r="D23" i="4"/>
  <c r="E23" i="4" s="1"/>
  <c r="F23" i="4" s="1"/>
  <c r="G23" i="4" s="1"/>
  <c r="H23" i="4" s="1"/>
  <c r="I23" i="4" s="1"/>
  <c r="J23" i="4" s="1"/>
  <c r="K23" i="4" s="1"/>
  <c r="L23" i="4" s="1"/>
  <c r="M23" i="4" s="1"/>
  <c r="N23" i="4" s="1"/>
  <c r="D10" i="5"/>
  <c r="O8" i="5"/>
  <c r="Q8" i="5"/>
  <c r="Q22" i="4"/>
  <c r="AB20" i="4"/>
  <c r="AB38" i="4"/>
  <c r="AO19" i="4"/>
  <c r="AD20" i="4"/>
  <c r="AY8" i="5"/>
  <c r="AY10" i="5" s="1"/>
  <c r="AY14" i="5" s="1"/>
  <c r="AY22" i="4"/>
  <c r="AY34" i="4" s="1"/>
  <c r="BB18" i="4"/>
  <c r="AP19" i="4"/>
  <c r="BC18" i="4"/>
  <c r="F9" i="4"/>
  <c r="E15" i="4"/>
  <c r="F8" i="4"/>
  <c r="F10" i="4" l="1"/>
  <c r="G9" i="4" s="1"/>
  <c r="D14" i="5"/>
  <c r="O10" i="5"/>
  <c r="AD8" i="5"/>
  <c r="AD22" i="4"/>
  <c r="AO38" i="4"/>
  <c r="AO20" i="4"/>
  <c r="P23" i="4"/>
  <c r="Q23" i="4" s="1"/>
  <c r="R23" i="4" s="1"/>
  <c r="S23" i="4" s="1"/>
  <c r="T23" i="4" s="1"/>
  <c r="U23" i="4" s="1"/>
  <c r="V23" i="4" s="1"/>
  <c r="W23" i="4" s="1"/>
  <c r="X23" i="4" s="1"/>
  <c r="Y23" i="4" s="1"/>
  <c r="Z23" i="4" s="1"/>
  <c r="AA23" i="4" s="1"/>
  <c r="O23" i="4"/>
  <c r="O34" i="4"/>
  <c r="D35" i="4"/>
  <c r="E35" i="4" s="1"/>
  <c r="F35" i="4" s="1"/>
  <c r="G35" i="4" s="1"/>
  <c r="H35" i="4" s="1"/>
  <c r="I35" i="4" s="1"/>
  <c r="J35" i="4" s="1"/>
  <c r="K35" i="4" s="1"/>
  <c r="L35" i="4" s="1"/>
  <c r="M35" i="4" s="1"/>
  <c r="N35" i="4" s="1"/>
  <c r="AB45" i="4"/>
  <c r="AB43" i="4"/>
  <c r="AB42" i="4"/>
  <c r="AB46" i="4" s="1"/>
  <c r="BO18" i="4"/>
  <c r="BC19" i="4"/>
  <c r="BB19" i="4"/>
  <c r="AQ20" i="4"/>
  <c r="Q34" i="4"/>
  <c r="AB34" i="4" s="1"/>
  <c r="AB22" i="4"/>
  <c r="Q10" i="5"/>
  <c r="AB8" i="5"/>
  <c r="F15" i="4" l="1"/>
  <c r="G8" i="4"/>
  <c r="G10" i="4" s="1"/>
  <c r="P35" i="4"/>
  <c r="Q35" i="4" s="1"/>
  <c r="R35" i="4" s="1"/>
  <c r="S35" i="4" s="1"/>
  <c r="T35" i="4" s="1"/>
  <c r="U35" i="4" s="1"/>
  <c r="V35" i="4" s="1"/>
  <c r="W35" i="4" s="1"/>
  <c r="X35" i="4" s="1"/>
  <c r="Y35" i="4" s="1"/>
  <c r="Z35" i="4" s="1"/>
  <c r="AA35" i="4" s="1"/>
  <c r="O35" i="4"/>
  <c r="O14" i="5"/>
  <c r="D15" i="5"/>
  <c r="AC23" i="4"/>
  <c r="AD23" i="4" s="1"/>
  <c r="AE23" i="4" s="1"/>
  <c r="AF23" i="4" s="1"/>
  <c r="AG23" i="4" s="1"/>
  <c r="AH23" i="4" s="1"/>
  <c r="AI23" i="4" s="1"/>
  <c r="AJ23" i="4" s="1"/>
  <c r="AK23" i="4" s="1"/>
  <c r="AL23" i="4" s="1"/>
  <c r="AM23" i="4" s="1"/>
  <c r="AN23" i="4" s="1"/>
  <c r="AB23" i="4"/>
  <c r="BD20" i="4"/>
  <c r="BO19" i="4"/>
  <c r="AO42" i="4"/>
  <c r="AO46" i="4" s="1"/>
  <c r="AO45" i="4"/>
  <c r="AO43" i="4"/>
  <c r="AD10" i="5"/>
  <c r="AO8" i="5"/>
  <c r="Q14" i="5"/>
  <c r="AB14" i="5" s="1"/>
  <c r="AB10" i="5"/>
  <c r="AD34" i="4"/>
  <c r="AO34" i="4" s="1"/>
  <c r="AO22" i="4"/>
  <c r="AQ8" i="5"/>
  <c r="AQ22" i="4"/>
  <c r="BB20" i="4"/>
  <c r="BB38" i="4"/>
  <c r="BD8" i="5" l="1"/>
  <c r="BD22" i="4"/>
  <c r="BO20" i="4"/>
  <c r="BO38" i="4"/>
  <c r="H8" i="4"/>
  <c r="H9" i="4"/>
  <c r="G15" i="4"/>
  <c r="D17" i="5"/>
  <c r="E6" i="5"/>
  <c r="E15" i="5" s="1"/>
  <c r="AD14" i="5"/>
  <c r="AO14" i="5" s="1"/>
  <c r="AO10" i="5"/>
  <c r="AQ34" i="4"/>
  <c r="BB34" i="4" s="1"/>
  <c r="BB22" i="4"/>
  <c r="AQ10" i="5"/>
  <c r="BB8" i="5"/>
  <c r="AP23" i="4"/>
  <c r="AQ23" i="4" s="1"/>
  <c r="AR23" i="4" s="1"/>
  <c r="AS23" i="4" s="1"/>
  <c r="AT23" i="4" s="1"/>
  <c r="AU23" i="4" s="1"/>
  <c r="AV23" i="4" s="1"/>
  <c r="AW23" i="4" s="1"/>
  <c r="AX23" i="4" s="1"/>
  <c r="AY23" i="4" s="1"/>
  <c r="AZ23" i="4" s="1"/>
  <c r="BA23" i="4" s="1"/>
  <c r="AO23" i="4"/>
  <c r="BB43" i="4"/>
  <c r="BB42" i="4"/>
  <c r="BB46" i="4" s="1"/>
  <c r="BB45" i="4"/>
  <c r="AC35" i="4"/>
  <c r="AD35" i="4" s="1"/>
  <c r="AE35" i="4" s="1"/>
  <c r="AF35" i="4" s="1"/>
  <c r="AG35" i="4" s="1"/>
  <c r="AH35" i="4" s="1"/>
  <c r="AI35" i="4" s="1"/>
  <c r="AJ35" i="4" s="1"/>
  <c r="AK35" i="4" s="1"/>
  <c r="AL35" i="4" s="1"/>
  <c r="AM35" i="4" s="1"/>
  <c r="AN35" i="4" s="1"/>
  <c r="AB35" i="4"/>
  <c r="BD34" i="4" l="1"/>
  <c r="BO34" i="4" s="1"/>
  <c r="BO22" i="4"/>
  <c r="AP35" i="4"/>
  <c r="AQ35" i="4" s="1"/>
  <c r="AR35" i="4" s="1"/>
  <c r="AS35" i="4" s="1"/>
  <c r="AT35" i="4" s="1"/>
  <c r="AU35" i="4" s="1"/>
  <c r="AV35" i="4" s="1"/>
  <c r="AW35" i="4" s="1"/>
  <c r="AX35" i="4" s="1"/>
  <c r="AY35" i="4" s="1"/>
  <c r="AZ35" i="4" s="1"/>
  <c r="BA35" i="4" s="1"/>
  <c r="AO35" i="4"/>
  <c r="BD10" i="5"/>
  <c r="BO8" i="5"/>
  <c r="E17" i="5"/>
  <c r="F6" i="5"/>
  <c r="F15" i="5" s="1"/>
  <c r="BC23" i="4"/>
  <c r="BD23" i="4" s="1"/>
  <c r="BE23" i="4" s="1"/>
  <c r="BF23" i="4" s="1"/>
  <c r="BG23" i="4" s="1"/>
  <c r="BH23" i="4" s="1"/>
  <c r="BI23" i="4" s="1"/>
  <c r="BJ23" i="4" s="1"/>
  <c r="BK23" i="4" s="1"/>
  <c r="BL23" i="4" s="1"/>
  <c r="BM23" i="4" s="1"/>
  <c r="BN23" i="4" s="1"/>
  <c r="BO23" i="4" s="1"/>
  <c r="BB23" i="4"/>
  <c r="H10" i="4"/>
  <c r="AQ14" i="5"/>
  <c r="BB14" i="5" s="1"/>
  <c r="BB10" i="5"/>
  <c r="BO42" i="4"/>
  <c r="BO46" i="4" s="1"/>
  <c r="BO45" i="4"/>
  <c r="BO43" i="4"/>
  <c r="F17" i="5" l="1"/>
  <c r="G6" i="5"/>
  <c r="G15" i="5" s="1"/>
  <c r="BD14" i="5"/>
  <c r="BO14" i="5" s="1"/>
  <c r="BO10" i="5"/>
  <c r="BB35" i="4"/>
  <c r="BC35" i="4"/>
  <c r="BD35" i="4" s="1"/>
  <c r="BE35" i="4" s="1"/>
  <c r="BF35" i="4" s="1"/>
  <c r="BG35" i="4" s="1"/>
  <c r="BH35" i="4" s="1"/>
  <c r="BI35" i="4" s="1"/>
  <c r="BJ35" i="4" s="1"/>
  <c r="BK35" i="4" s="1"/>
  <c r="BL35" i="4" s="1"/>
  <c r="BM35" i="4" s="1"/>
  <c r="BN35" i="4" s="1"/>
  <c r="BO35" i="4" s="1"/>
  <c r="I9" i="4"/>
  <c r="I8" i="4"/>
  <c r="H15" i="4"/>
  <c r="I10" i="4" l="1"/>
  <c r="J9" i="4" s="1"/>
  <c r="G17" i="5"/>
  <c r="H6" i="5"/>
  <c r="H15" i="5" s="1"/>
  <c r="J8" i="4" l="1"/>
  <c r="J10" i="4" s="1"/>
  <c r="J15" i="4" s="1"/>
  <c r="I15" i="4"/>
  <c r="I6" i="5"/>
  <c r="I15" i="5" s="1"/>
  <c r="H17" i="5"/>
  <c r="K9" i="4" l="1"/>
  <c r="K8" i="4"/>
  <c r="J6" i="5"/>
  <c r="J15" i="5" s="1"/>
  <c r="I17" i="5"/>
  <c r="K10" i="4" l="1"/>
  <c r="K15" i="4" s="1"/>
  <c r="L8" i="4"/>
  <c r="K6" i="5"/>
  <c r="K15" i="5" s="1"/>
  <c r="J17" i="5"/>
  <c r="L9" i="4" l="1"/>
  <c r="L10" i="4" s="1"/>
  <c r="L15" i="4" s="1"/>
  <c r="L6" i="5"/>
  <c r="L15" i="5" s="1"/>
  <c r="K17" i="5"/>
  <c r="M9" i="4" l="1"/>
  <c r="M8" i="4"/>
  <c r="M10" i="4" s="1"/>
  <c r="M15" i="4" s="1"/>
  <c r="L17" i="5"/>
  <c r="M6" i="5"/>
  <c r="M15" i="5" s="1"/>
  <c r="N8" i="4" l="1"/>
  <c r="N9" i="4"/>
  <c r="O9" i="4" s="1"/>
  <c r="O8" i="4"/>
  <c r="M17" i="5"/>
  <c r="N6" i="5"/>
  <c r="N15" i="5" s="1"/>
  <c r="N10" i="4" l="1"/>
  <c r="N15" i="4" s="1"/>
  <c r="O10" i="4"/>
  <c r="O47" i="4"/>
  <c r="P8" i="4"/>
  <c r="O48" i="4"/>
  <c r="O15" i="4"/>
  <c r="O17" i="5"/>
  <c r="N17" i="5"/>
  <c r="P6" i="5"/>
  <c r="O15" i="5"/>
  <c r="P9" i="4" l="1"/>
  <c r="P10" i="4"/>
  <c r="Q8" i="4" s="1"/>
  <c r="P15" i="5"/>
  <c r="AB6" i="5"/>
  <c r="P15" i="4" l="1"/>
  <c r="Q9" i="4"/>
  <c r="Q10" i="4" s="1"/>
  <c r="P17" i="5"/>
  <c r="Q6" i="5"/>
  <c r="Q15" i="5" s="1"/>
  <c r="Q17" i="5" l="1"/>
  <c r="R6" i="5"/>
  <c r="R15" i="5" s="1"/>
  <c r="R8" i="4"/>
  <c r="R9" i="4"/>
  <c r="Q15" i="4"/>
  <c r="R10" i="4" l="1"/>
  <c r="S6" i="5"/>
  <c r="S15" i="5" s="1"/>
  <c r="R17" i="5"/>
  <c r="T6" i="5" l="1"/>
  <c r="T15" i="5" s="1"/>
  <c r="S17" i="5"/>
  <c r="S9" i="4"/>
  <c r="S8" i="4"/>
  <c r="R15" i="4"/>
  <c r="S10" i="4" l="1"/>
  <c r="T9" i="4" s="1"/>
  <c r="U6" i="5"/>
  <c r="U15" i="5" s="1"/>
  <c r="T17" i="5"/>
  <c r="T8" i="4" l="1"/>
  <c r="T10" i="4" s="1"/>
  <c r="S15" i="4"/>
  <c r="V6" i="5"/>
  <c r="V15" i="5" s="1"/>
  <c r="U17" i="5"/>
  <c r="T15" i="4" l="1"/>
  <c r="U8" i="4"/>
  <c r="U9" i="4"/>
  <c r="V17" i="5"/>
  <c r="W6" i="5"/>
  <c r="W15" i="5" s="1"/>
  <c r="U10" i="4" l="1"/>
  <c r="U15" i="4" s="1"/>
  <c r="W17" i="5"/>
  <c r="X6" i="5"/>
  <c r="X15" i="5" s="1"/>
  <c r="V9" i="4" l="1"/>
  <c r="V8" i="4"/>
  <c r="X17" i="5"/>
  <c r="Y6" i="5"/>
  <c r="Y15" i="5" s="1"/>
  <c r="V10" i="4" l="1"/>
  <c r="W8" i="4" s="1"/>
  <c r="V15" i="4"/>
  <c r="W9" i="4"/>
  <c r="W10" i="4" s="1"/>
  <c r="X9" i="4" s="1"/>
  <c r="Y17" i="5"/>
  <c r="Z6" i="5"/>
  <c r="Z15" i="5" s="1"/>
  <c r="X8" i="4" l="1"/>
  <c r="X10" i="4" s="1"/>
  <c r="W15" i="4"/>
  <c r="X15" i="4"/>
  <c r="Y9" i="4"/>
  <c r="Y8" i="4"/>
  <c r="Z17" i="5"/>
  <c r="AA6" i="5"/>
  <c r="AA15" i="5" s="1"/>
  <c r="Y10" i="4" l="1"/>
  <c r="Z9" i="4" s="1"/>
  <c r="AA17" i="5"/>
  <c r="AC6" i="5"/>
  <c r="AB17" i="5"/>
  <c r="AB15" i="5"/>
  <c r="Y15" i="4" l="1"/>
  <c r="Z8" i="4"/>
  <c r="Z10" i="4" s="1"/>
  <c r="AA9" i="4" s="1"/>
  <c r="AB9" i="4" s="1"/>
  <c r="AA8" i="4"/>
  <c r="AB8" i="4"/>
  <c r="AO6" i="5"/>
  <c r="AC15" i="5"/>
  <c r="AA10" i="4" l="1"/>
  <c r="Z15" i="4"/>
  <c r="AB10" i="4"/>
  <c r="AA15" i="4"/>
  <c r="AB47" i="4"/>
  <c r="AC9" i="4"/>
  <c r="AC8" i="4"/>
  <c r="AD6" i="5"/>
  <c r="AD15" i="5" s="1"/>
  <c r="AC17" i="5"/>
  <c r="AB48" i="4" l="1"/>
  <c r="AB15" i="4"/>
  <c r="AE6" i="5"/>
  <c r="AE15" i="5" s="1"/>
  <c r="AD17" i="5"/>
  <c r="AC10" i="4"/>
  <c r="AC15" i="4" l="1"/>
  <c r="AD8" i="4"/>
  <c r="AD9" i="4"/>
  <c r="AF6" i="5"/>
  <c r="AF15" i="5" s="1"/>
  <c r="AE17" i="5"/>
  <c r="AF17" i="5" l="1"/>
  <c r="AG6" i="5"/>
  <c r="AG15" i="5" s="1"/>
  <c r="AD10" i="4"/>
  <c r="AH6" i="5" l="1"/>
  <c r="AH15" i="5" s="1"/>
  <c r="AG17" i="5"/>
  <c r="AD15" i="4"/>
  <c r="AE9" i="4"/>
  <c r="AE8" i="4"/>
  <c r="AH17" i="5" l="1"/>
  <c r="AI6" i="5"/>
  <c r="AI15" i="5" s="1"/>
  <c r="AE10" i="4"/>
  <c r="AE15" i="4" l="1"/>
  <c r="AF9" i="4"/>
  <c r="AF8" i="4"/>
  <c r="AI17" i="5"/>
  <c r="AJ6" i="5"/>
  <c r="AJ15" i="5" s="1"/>
  <c r="AF10" i="4" l="1"/>
  <c r="AF15" i="4" s="1"/>
  <c r="AJ17" i="5"/>
  <c r="AK6" i="5"/>
  <c r="AK15" i="5" s="1"/>
  <c r="AG8" i="4" l="1"/>
  <c r="AG9" i="4"/>
  <c r="AG10" i="4" s="1"/>
  <c r="AK17" i="5"/>
  <c r="AL6" i="5"/>
  <c r="AL15" i="5" s="1"/>
  <c r="AH8" i="4" l="1"/>
  <c r="AH9" i="4"/>
  <c r="AH10" i="4" s="1"/>
  <c r="AG15" i="4"/>
  <c r="AM6" i="5"/>
  <c r="AM15" i="5" s="1"/>
  <c r="AL17" i="5"/>
  <c r="AN6" i="5" l="1"/>
  <c r="AN15" i="5" s="1"/>
  <c r="AM17" i="5"/>
  <c r="AI8" i="4"/>
  <c r="AI9" i="4"/>
  <c r="AH15" i="4"/>
  <c r="AI10" i="4" l="1"/>
  <c r="AP6" i="5"/>
  <c r="AO15" i="5"/>
  <c r="AO17" i="5"/>
  <c r="AN17" i="5"/>
  <c r="AP15" i="5" l="1"/>
  <c r="BB6" i="5"/>
  <c r="AJ8" i="4"/>
  <c r="AJ9" i="4"/>
  <c r="AI15" i="4"/>
  <c r="AJ10" i="4" l="1"/>
  <c r="AP17" i="5"/>
  <c r="AQ6" i="5"/>
  <c r="AQ15" i="5" s="1"/>
  <c r="AR6" i="5" l="1"/>
  <c r="AR15" i="5" s="1"/>
  <c r="AQ17" i="5"/>
  <c r="AK8" i="4"/>
  <c r="AK9" i="4"/>
  <c r="AJ15" i="4"/>
  <c r="AR17" i="5" l="1"/>
  <c r="AS6" i="5"/>
  <c r="AS15" i="5" s="1"/>
  <c r="AK10" i="4"/>
  <c r="AL8" i="4" l="1"/>
  <c r="AL9" i="4"/>
  <c r="AK15" i="4"/>
  <c r="AS17" i="5"/>
  <c r="AT6" i="5"/>
  <c r="AT15" i="5" s="1"/>
  <c r="AL10" i="4" l="1"/>
  <c r="AT17" i="5"/>
  <c r="AU6" i="5"/>
  <c r="AU15" i="5" s="1"/>
  <c r="AU17" i="5" l="1"/>
  <c r="AV6" i="5"/>
  <c r="AV15" i="5" s="1"/>
  <c r="AM8" i="4"/>
  <c r="AL15" i="4"/>
  <c r="AM9" i="4"/>
  <c r="AM10" i="4" l="1"/>
  <c r="AW6" i="5"/>
  <c r="AW15" i="5" s="1"/>
  <c r="AV17" i="5"/>
  <c r="AX6" i="5" l="1"/>
  <c r="AX15" i="5" s="1"/>
  <c r="AW17" i="5"/>
  <c r="AM15" i="4"/>
  <c r="AN8" i="4"/>
  <c r="AN9" i="4"/>
  <c r="AO9" i="4" s="1"/>
  <c r="AN10" i="4" l="1"/>
  <c r="AO8" i="4"/>
  <c r="AY6" i="5"/>
  <c r="AY15" i="5" s="1"/>
  <c r="AX17" i="5"/>
  <c r="AZ6" i="5" l="1"/>
  <c r="AZ15" i="5" s="1"/>
  <c r="AY17" i="5"/>
  <c r="AO47" i="4"/>
  <c r="AP9" i="4"/>
  <c r="AN15" i="4"/>
  <c r="AO10" i="4"/>
  <c r="AP8" i="4"/>
  <c r="AP10" i="4" l="1"/>
  <c r="AQ8" i="4" s="1"/>
  <c r="AO48" i="4"/>
  <c r="AO15" i="4"/>
  <c r="AZ17" i="5"/>
  <c r="BA6" i="5"/>
  <c r="BA15" i="5" s="1"/>
  <c r="AQ9" i="4" l="1"/>
  <c r="AQ10" i="4" s="1"/>
  <c r="AP15" i="4"/>
  <c r="BB17" i="5"/>
  <c r="BC6" i="5"/>
  <c r="BB15" i="5"/>
  <c r="BA17" i="5"/>
  <c r="AQ15" i="4" l="1"/>
  <c r="AR9" i="4"/>
  <c r="AR8" i="4"/>
  <c r="BO6" i="5"/>
  <c r="BC15" i="5"/>
  <c r="AR10" i="4" l="1"/>
  <c r="AR15" i="4" s="1"/>
  <c r="BC17" i="5"/>
  <c r="BD6" i="5"/>
  <c r="BD15" i="5" s="1"/>
  <c r="AS9" i="4" l="1"/>
  <c r="AS8" i="4"/>
  <c r="BD17" i="5"/>
  <c r="BE6" i="5"/>
  <c r="BE15" i="5" s="1"/>
  <c r="AS10" i="4" l="1"/>
  <c r="AS15" i="4" s="1"/>
  <c r="AT8" i="4"/>
  <c r="AT9" i="4"/>
  <c r="BE17" i="5"/>
  <c r="BF6" i="5"/>
  <c r="BF15" i="5" s="1"/>
  <c r="AT10" i="4"/>
  <c r="AU8" i="4" l="1"/>
  <c r="AU9" i="4"/>
  <c r="AT15" i="4"/>
  <c r="BG6" i="5"/>
  <c r="BG15" i="5" s="1"/>
  <c r="BF17" i="5"/>
  <c r="BH6" i="5" l="1"/>
  <c r="BH15" i="5" s="1"/>
  <c r="BG17" i="5"/>
  <c r="AU10" i="4"/>
  <c r="AV8" i="4" l="1"/>
  <c r="AV9" i="4"/>
  <c r="AU15" i="4"/>
  <c r="BI6" i="5"/>
  <c r="BI15" i="5" s="1"/>
  <c r="BH17" i="5"/>
  <c r="BJ6" i="5" l="1"/>
  <c r="BJ15" i="5" s="1"/>
  <c r="BI17" i="5"/>
  <c r="AV10" i="4"/>
  <c r="AW9" i="4" l="1"/>
  <c r="AW8" i="4"/>
  <c r="AV15" i="4"/>
  <c r="BJ17" i="5"/>
  <c r="BK6" i="5"/>
  <c r="BK15" i="5" s="1"/>
  <c r="AW10" i="4" l="1"/>
  <c r="AX8" i="4" s="1"/>
  <c r="BK17" i="5"/>
  <c r="BL6" i="5"/>
  <c r="BL15" i="5" s="1"/>
  <c r="AX9" i="4" l="1"/>
  <c r="AX10" i="4" s="1"/>
  <c r="AW15" i="4"/>
  <c r="BL17" i="5"/>
  <c r="BM6" i="5"/>
  <c r="BM15" i="5" s="1"/>
  <c r="AY9" i="4" l="1"/>
  <c r="AX15" i="4"/>
  <c r="AY8" i="4"/>
  <c r="BM17" i="5"/>
  <c r="BN6" i="5"/>
  <c r="BN15" i="5" s="1"/>
  <c r="AY10" i="4" l="1"/>
  <c r="AZ8" i="4" s="1"/>
  <c r="AY15" i="4"/>
  <c r="BO17" i="5"/>
  <c r="BN17" i="5"/>
  <c r="BO15" i="5"/>
  <c r="AZ9" i="4" l="1"/>
  <c r="AZ10" i="4"/>
  <c r="AZ15" i="4" l="1"/>
  <c r="BA9" i="4"/>
  <c r="BB9" i="4" s="1"/>
  <c r="BA8" i="4"/>
  <c r="BA10" i="4" l="1"/>
  <c r="BB8" i="4"/>
  <c r="BB47" i="4" l="1"/>
  <c r="BB10" i="4"/>
  <c r="BA15" i="4"/>
  <c r="BC8" i="4"/>
  <c r="BC9" i="4"/>
  <c r="BC10" i="4" l="1"/>
  <c r="BB48" i="4"/>
  <c r="BB15" i="4"/>
  <c r="BC15" i="4" l="1"/>
  <c r="BD9" i="4"/>
  <c r="BD8" i="4"/>
  <c r="BD10" i="4" l="1"/>
  <c r="BD15" i="4" s="1"/>
  <c r="BE8" i="4" l="1"/>
  <c r="BE9" i="4"/>
  <c r="BE10" i="4" s="1"/>
  <c r="BF8" i="4" l="1"/>
  <c r="BE15" i="4"/>
  <c r="BF9" i="4"/>
  <c r="BF10" i="4" l="1"/>
  <c r="BG8" i="4" s="1"/>
  <c r="BG9" i="4"/>
  <c r="BF15" i="4" l="1"/>
  <c r="BG10" i="4"/>
  <c r="BH9" i="4" l="1"/>
  <c r="BH8" i="4"/>
  <c r="BG15" i="4"/>
  <c r="BH10" i="4" l="1"/>
  <c r="BI8" i="4" s="1"/>
  <c r="BI9" i="4" l="1"/>
  <c r="BI10" i="4" s="1"/>
  <c r="BI15" i="4" s="1"/>
  <c r="BH15" i="4"/>
  <c r="BJ8" i="4" l="1"/>
  <c r="BJ9" i="4"/>
  <c r="BJ10" i="4" l="1"/>
  <c r="BK8" i="4" s="1"/>
  <c r="BJ15" i="4"/>
  <c r="BK9" i="4"/>
  <c r="BK10" i="4" l="1"/>
  <c r="BL9" i="4" l="1"/>
  <c r="BL8" i="4"/>
  <c r="BK15" i="4"/>
  <c r="BL10" i="4" l="1"/>
  <c r="BL15" i="4" s="1"/>
  <c r="BM8" i="4" l="1"/>
  <c r="BM10" i="4" s="1"/>
  <c r="BN9" i="4" s="1"/>
  <c r="BO9" i="4" s="1"/>
  <c r="BM9" i="4"/>
  <c r="BM15" i="4" l="1"/>
  <c r="BN8" i="4"/>
  <c r="BO8" i="4" s="1"/>
  <c r="BN10" i="4" l="1"/>
  <c r="BO47" i="4"/>
  <c r="BO10" i="4"/>
  <c r="BN15" i="4"/>
  <c r="BO48" i="4" l="1"/>
  <c r="BO15" i="4"/>
</calcChain>
</file>

<file path=xl/sharedStrings.xml><?xml version="1.0" encoding="utf-8"?>
<sst xmlns="http://schemas.openxmlformats.org/spreadsheetml/2006/main" count="364" uniqueCount="271">
  <si>
    <t>Insurance Agency Financial Model</t>
  </si>
  <si>
    <t>Startup Cost Estimator  •  Pro-Forma  •  Cash Flow</t>
  </si>
  <si>
    <t>Your Name:</t>
  </si>
  <si>
    <t>Agency Name:</t>
  </si>
  <si>
    <t>Location (City, State):</t>
  </si>
  <si>
    <t>Date:</t>
  </si>
  <si>
    <t>How to Use This Workbook</t>
  </si>
  <si>
    <t>1.</t>
  </si>
  <si>
    <t>Fill in yellow cells on Assumptions tab. That's the only tab you edit.</t>
  </si>
  <si>
    <t>2.</t>
  </si>
  <si>
    <t>Employee 1 is the owner/agent. Set their production, salary, and start date.</t>
  </si>
  <si>
    <t>3.</t>
  </si>
  <si>
    <t>Startup Costs tab shows your capital requirements.</t>
  </si>
  <si>
    <t>4.</t>
  </si>
  <si>
    <t>Pro-Forma shows 60 months of production, revenue, expenses, and valuations.</t>
  </si>
  <si>
    <t>5.</t>
  </si>
  <si>
    <t>Cash Flow shows your monthly cash position and runway.</t>
  </si>
  <si>
    <t>6.</t>
  </si>
  <si>
    <t>Annual summary columns (green) appear after each 12-month block.</t>
  </si>
  <si>
    <t>Color Key</t>
  </si>
  <si>
    <t xml:space="preserve">  Yellow cells</t>
  </si>
  <si>
    <t>Your inputs (the only cells you should edit)</t>
  </si>
  <si>
    <t xml:space="preserve">  Blue text</t>
  </si>
  <si>
    <t>Input values you've entered</t>
  </si>
  <si>
    <t xml:space="preserve">  Green columns</t>
  </si>
  <si>
    <t>Annual summary columns (auto-calculated)</t>
  </si>
  <si>
    <t xml:space="preserve">  Orange cells</t>
  </si>
  <si>
    <t>Caution — see notes (e.g., contingent bonus inputs)</t>
  </si>
  <si>
    <t>Disclaimer</t>
  </si>
  <si>
    <t>This tool is provided for informational and planning purposes only. The creator makes no guarantees regarding accuracy, completeness, or suitability for any purpose. All projections are estimates based on your assumptions; actual results will vary. By using this tool, you assume full responsibility for all decisions made using this information and agree to hold harmless and waive all claims against the creator. This is not financial, legal, or professional advice.</t>
  </si>
  <si>
    <t>Your Assumptions</t>
  </si>
  <si>
    <t>Fill in every yellow cell below. All other tabs calculate from these inputs.</t>
  </si>
  <si>
    <t>AGENCY SETUP</t>
  </si>
  <si>
    <t>REVENUE BY LINE OF BUSINESS</t>
  </si>
  <si>
    <t>Agency Start Date</t>
  </si>
  <si>
    <t>Line of Business</t>
  </si>
  <si>
    <t>Policies/Mo
(owner at ramp)</t>
  </si>
  <si>
    <t>Avg Premium</t>
  </si>
  <si>
    <t>Commission %</t>
  </si>
  <si>
    <t>Retention %</t>
  </si>
  <si>
    <t>Starting Cash (total capital available)</t>
  </si>
  <si>
    <t>Personal Auto</t>
  </si>
  <si>
    <t>Commission Payment Lag (months)</t>
  </si>
  <si>
    <t>Homeowners</t>
  </si>
  <si>
    <t>0 = paid same month earned, 1 = one month delay (most common), 2 = two months, 3 = three months.</t>
  </si>
  <si>
    <t>Renters</t>
  </si>
  <si>
    <t>Commercial Lines</t>
  </si>
  <si>
    <t>EXISTING BOOK PURCHASE (if applicable)</t>
  </si>
  <si>
    <t>Life / Health</t>
  </si>
  <si>
    <t>Purchasing an existing book?</t>
  </si>
  <si>
    <t>No</t>
  </si>
  <si>
    <t>Other</t>
  </si>
  <si>
    <t>Purchased book annual premium</t>
  </si>
  <si>
    <t>TOTALS / BLENDED</t>
  </si>
  <si>
    <t>Purchase price</t>
  </si>
  <si>
    <t>LOB Policies/Mo = owner's fully ramped production. Employee production is set as a ratio on the employee table.</t>
  </si>
  <si>
    <t>Purchased book retention rate</t>
  </si>
  <si>
    <t>Purchased book avg commission rate</t>
  </si>
  <si>
    <t>TEAM PLANNING (Employee 1 = Owner/Agent, up to 10 total)</t>
  </si>
  <si>
    <t>Role</t>
  </si>
  <si>
    <t>Type</t>
  </si>
  <si>
    <t>Base Monthly
Salary</t>
  </si>
  <si>
    <t>Start Date
(mm/dd/yyyy)</t>
  </si>
  <si>
    <t>Calc'd
Month #</t>
  </si>
  <si>
    <t>If Sales:
Policies/Mo
(at full ramp)</t>
  </si>
  <si>
    <t>Ramp Period
(months)</t>
  </si>
  <si>
    <t>Replacement
Cost</t>
  </si>
  <si>
    <t>Owner / Agent</t>
  </si>
  <si>
    <t>Sales</t>
  </si>
  <si>
    <t>Employee 2</t>
  </si>
  <si>
    <t>Employee 3</t>
  </si>
  <si>
    <t>Employee 4</t>
  </si>
  <si>
    <t>Employee 5</t>
  </si>
  <si>
    <t>Employee 6</t>
  </si>
  <si>
    <t>Employee 7</t>
  </si>
  <si>
    <t>Employee 8</t>
  </si>
  <si>
    <t>Employee 9</t>
  </si>
  <si>
    <t>Employee 10</t>
  </si>
  <si>
    <t>Employee 1 is the owner/agent. Their salary, ramp, and production all flow through the same framework as hires.</t>
  </si>
  <si>
    <t>Payroll Burden Modifier (benefits, taxes, etc.)</t>
  </si>
  <si>
    <t>Multiplier on base salary. Covers benefits, payroll taxes, workers comp, etc. Typical: 1.25-1.40x.</t>
  </si>
  <si>
    <t>Owner Loaded Monthly Cost (calculated)</t>
  </si>
  <si>
    <t>Employee 2 Loaded Monthly Cost (calculated)</t>
  </si>
  <si>
    <t>Annual Employee Turnover Rate</t>
  </si>
  <si>
    <t>Turnover cost spread monthly: (active employees × rate × replacement cost) / 12. Owner excluded from turnover.</t>
  </si>
  <si>
    <t>CARRIER CONTINGENT / BONUS COMMISSIONS</t>
  </si>
  <si>
    <t>Percentage of annual written premium paid as carrier profit-sharing bonus. Typical: 1.5-3.0% for qualifying agencies.</t>
  </si>
  <si>
    <t>Year</t>
  </si>
  <si>
    <t>Bonus % of
Written Premium</t>
  </si>
  <si>
    <t>Year 1 Bonus %</t>
  </si>
  <si>
    <t>Year 2 Bonus %</t>
  </si>
  <si>
    <t>Year 3 Bonus %</t>
  </si>
  <si>
    <t>Year 4 Bonus %</t>
  </si>
  <si>
    <t>Year 5 Bonus %</t>
  </si>
  <si>
    <t>⚠ Years 1-2 default to 0%. Bonus is typically not paid until the agency has 2-3+ years with a carrier,</t>
  </si>
  <si>
    <t xml:space="preserve">  meets minimum premium thresholds, and demonstrates favorable loss ratios. Adjust conservatively.</t>
  </si>
  <si>
    <t xml:space="preserve">  Paid annually (modeled in March). Excluded from EBITDA for valuation; shown separately.</t>
  </si>
  <si>
    <t>ONE-TIME STARTUP COSTS</t>
  </si>
  <si>
    <t>Expense Item</t>
  </si>
  <si>
    <t>Amount</t>
  </si>
  <si>
    <t>Licensing &amp; Pre-Licensing Education</t>
  </si>
  <si>
    <t>E&amp;O Insurance (first year)</t>
  </si>
  <si>
    <t>Entity Formation / Legal</t>
  </si>
  <si>
    <t>Franchise or Joining Fees</t>
  </si>
  <si>
    <t>Office Setup (furniture, signage, equipment)</t>
  </si>
  <si>
    <t>Initial Marketing Investment</t>
  </si>
  <si>
    <t>Technology Setup (hardware, software)</t>
  </si>
  <si>
    <t>Down Payment / Cash at Close (book purchase)</t>
  </si>
  <si>
    <t>Other Startup Cost 1</t>
  </si>
  <si>
    <t>Other Startup Cost 2</t>
  </si>
  <si>
    <t>Other Startup Cost 3</t>
  </si>
  <si>
    <t>TOTAL STARTUP COSTS</t>
  </si>
  <si>
    <t>RECURRING COSTS</t>
  </si>
  <si>
    <t>Frequency</t>
  </si>
  <si>
    <t>Office Rent</t>
  </si>
  <si>
    <t>Monthly</t>
  </si>
  <si>
    <t>Internet</t>
  </si>
  <si>
    <t>Per-Seat Technology (AMS, rater, phones, etc.)</t>
  </si>
  <si>
    <t>Per Employee/Mo</t>
  </si>
  <si>
    <t>Marketing (ongoing)</t>
  </si>
  <si>
    <t>Office Supplies &amp; Miscellaneous</t>
  </si>
  <si>
    <t>E&amp;O Insurance (after year 1)</t>
  </si>
  <si>
    <t>Annual</t>
  </si>
  <si>
    <t>Loan Repayment (book purchase)</t>
  </si>
  <si>
    <t>Loan Repayment (operating / SBA)</t>
  </si>
  <si>
    <t>Other Recurring Cost 1</t>
  </si>
  <si>
    <t>Other Recurring Cost 2</t>
  </si>
  <si>
    <t>Other Recurring Cost 3</t>
  </si>
  <si>
    <t>Other Recurring Cost 4</t>
  </si>
  <si>
    <t>BASE MONTHLY TOTAL (excl. per-employee)</t>
  </si>
  <si>
    <t>PER-EMPLOYEE MONTHLY ADD-ON</t>
  </si>
  <si>
    <t>Per Employee/Mo scales with active headcount (all employees including owner). Annual divides by 12.</t>
  </si>
  <si>
    <t>BOOK VALUATION ASSUMPTIONS</t>
  </si>
  <si>
    <t>Revenue Multiple (typical: 1.5x - 3.0x)</t>
  </si>
  <si>
    <t>EBITDA Multiple (typical: 4x - 12x)</t>
  </si>
  <si>
    <t>EBITDA for valuation EXCLUDES contingent bonus (conservative). Owner salary is added back.</t>
  </si>
  <si>
    <t>Startup Cost Summary</t>
  </si>
  <si>
    <t>All values from Assumptions. Do not edit.</t>
  </si>
  <si>
    <t>TOTAL ONE-TIME COSTS</t>
  </si>
  <si>
    <t>FIRST-YEAR CAPITAL REQUIREMENTS</t>
  </si>
  <si>
    <t>Total One-Time Startup Costs</t>
  </si>
  <si>
    <t>All Salaries (12 months, loaded, prorated)</t>
  </si>
  <si>
    <t>Base Operating Costs (12 months)</t>
  </si>
  <si>
    <t>ESTIMATED FIRST-YEAR CAPITAL NEEDED (before revenue)</t>
  </si>
  <si>
    <t>Your Starting Cash</t>
  </si>
  <si>
    <t>Funding Gap / Surplus (before any revenue)</t>
  </si>
  <si>
    <t>60-Month Pro-Forma</t>
  </si>
  <si>
    <t>All values from Assumptions. Green columns are annual summaries. Do not edit.</t>
  </si>
  <si>
    <t>Year 1</t>
  </si>
  <si>
    <t>Year 2</t>
  </si>
  <si>
    <t>Year 3</t>
  </si>
  <si>
    <t>Year 4</t>
  </si>
  <si>
    <t>Year 5</t>
  </si>
  <si>
    <t>Mo 1</t>
  </si>
  <si>
    <t>Mo 2</t>
  </si>
  <si>
    <t>Mo 3</t>
  </si>
  <si>
    <t>Mo 4</t>
  </si>
  <si>
    <t>Mo 5</t>
  </si>
  <si>
    <t>Mo 6</t>
  </si>
  <si>
    <t>Mo 7</t>
  </si>
  <si>
    <t>Mo 8</t>
  </si>
  <si>
    <t>Mo 9</t>
  </si>
  <si>
    <t>Mo 10</t>
  </si>
  <si>
    <t>Mo 11</t>
  </si>
  <si>
    <t>Mo 12</t>
  </si>
  <si>
    <t>Year 1
Total</t>
  </si>
  <si>
    <t>Mo 13</t>
  </si>
  <si>
    <t>Mo 14</t>
  </si>
  <si>
    <t>Mo 15</t>
  </si>
  <si>
    <t>Mo 16</t>
  </si>
  <si>
    <t>Mo 17</t>
  </si>
  <si>
    <t>Mo 18</t>
  </si>
  <si>
    <t>Mo 19</t>
  </si>
  <si>
    <t>Mo 20</t>
  </si>
  <si>
    <t>Mo 21</t>
  </si>
  <si>
    <t>Mo 22</t>
  </si>
  <si>
    <t>Mo 23</t>
  </si>
  <si>
    <t>Mo 24</t>
  </si>
  <si>
    <t>Year 2
Total</t>
  </si>
  <si>
    <t>Mo 25</t>
  </si>
  <si>
    <t>Mo 26</t>
  </si>
  <si>
    <t>Mo 27</t>
  </si>
  <si>
    <t>Mo 28</t>
  </si>
  <si>
    <t>Mo 29</t>
  </si>
  <si>
    <t>Mo 30</t>
  </si>
  <si>
    <t>Mo 31</t>
  </si>
  <si>
    <t>Mo 32</t>
  </si>
  <si>
    <t>Mo 33</t>
  </si>
  <si>
    <t>Mo 34</t>
  </si>
  <si>
    <t>Mo 35</t>
  </si>
  <si>
    <t>Mo 36</t>
  </si>
  <si>
    <t>Year 3
Total</t>
  </si>
  <si>
    <t>Mo 37</t>
  </si>
  <si>
    <t>Mo 38</t>
  </si>
  <si>
    <t>Mo 39</t>
  </si>
  <si>
    <t>Mo 40</t>
  </si>
  <si>
    <t>Mo 41</t>
  </si>
  <si>
    <t>Mo 42</t>
  </si>
  <si>
    <t>Mo 43</t>
  </si>
  <si>
    <t>Mo 44</t>
  </si>
  <si>
    <t>Mo 45</t>
  </si>
  <si>
    <t>Mo 46</t>
  </si>
  <si>
    <t>Mo 47</t>
  </si>
  <si>
    <t>Mo 48</t>
  </si>
  <si>
    <t>Year 4
Total</t>
  </si>
  <si>
    <t>Mo 49</t>
  </si>
  <si>
    <t>Mo 50</t>
  </si>
  <si>
    <t>Mo 51</t>
  </si>
  <si>
    <t>Mo 52</t>
  </si>
  <si>
    <t>Mo 53</t>
  </si>
  <si>
    <t>Mo 54</t>
  </si>
  <si>
    <t>Mo 55</t>
  </si>
  <si>
    <t>Mo 56</t>
  </si>
  <si>
    <t>Mo 57</t>
  </si>
  <si>
    <t>Mo 58</t>
  </si>
  <si>
    <t>Mo 59</t>
  </si>
  <si>
    <t>Mo 60</t>
  </si>
  <si>
    <t>Year 5
Total</t>
  </si>
  <si>
    <t>PRODUCTION</t>
  </si>
  <si>
    <t>Total New Policies Written</t>
  </si>
  <si>
    <t>Purchased Book Policies (est.)</t>
  </si>
  <si>
    <t>Cumulative (before attrition)</t>
  </si>
  <si>
    <t>Policies Lost (attrition)</t>
  </si>
  <si>
    <t>Net Policies in Force</t>
  </si>
  <si>
    <t>PREMIUM</t>
  </si>
  <si>
    <t>New Premium Written</t>
  </si>
  <si>
    <t>Purchased Book Premium</t>
  </si>
  <si>
    <t>Net Premium in Force</t>
  </si>
  <si>
    <t>REVENUE</t>
  </si>
  <si>
    <t>Renewal Premium (anniversaried)</t>
  </si>
  <si>
    <t>Commission Earned</t>
  </si>
  <si>
    <t>Commission Received (after lag)</t>
  </si>
  <si>
    <t>Carrier Contingent Bonus (March payout)</t>
  </si>
  <si>
    <t>Total Revenue (commission + bonus)</t>
  </si>
  <si>
    <t>Cumulative Revenue</t>
  </si>
  <si>
    <t>EXPENSES</t>
  </si>
  <si>
    <t>One-Time Startup Costs</t>
  </si>
  <si>
    <t>All Salaries (loaded)</t>
  </si>
  <si>
    <t xml:space="preserve">  (of which: Owner salary, loaded)</t>
  </si>
  <si>
    <t>Operating Costs (base + per-seat)</t>
  </si>
  <si>
    <t>Employee Turnover Costs</t>
  </si>
  <si>
    <t>Total Monthly Expenses</t>
  </si>
  <si>
    <t>MONTHLY SUMMARY</t>
  </si>
  <si>
    <t>Monthly Net Income / (Loss)</t>
  </si>
  <si>
    <t>Cumulative Net Income / (Loss)</t>
  </si>
  <si>
    <t>BOOK VALUATION (annual summary columns)</t>
  </si>
  <si>
    <t>Annual Commission Revenue (excl. bonus)</t>
  </si>
  <si>
    <t>Annual Contingent Bonus</t>
  </si>
  <si>
    <t>Annual Total Expenses</t>
  </si>
  <si>
    <t>Annual Owner Salary (add-back for EBITDA)</t>
  </si>
  <si>
    <t>EBITDA excl. Bonus (for valuation)</t>
  </si>
  <si>
    <t>EBITDA incl. Bonus (owner economics)</t>
  </si>
  <si>
    <t>Book Value (Revenue Multiple, incl. bonus)</t>
  </si>
  <si>
    <t>Book Value (EBITDA Multiple, excl. bonus)</t>
  </si>
  <si>
    <t>Net Policies in Force (year-end)</t>
  </si>
  <si>
    <t>Net Premium in Force (year-end)</t>
  </si>
  <si>
    <t>EBITDA excl. bonus is conservative (for M&amp;A). Incl. bonus reflects owner's actual economics. Revenue multiple uses total revenue.</t>
  </si>
  <si>
    <t>60-Month Cash Flow</t>
  </si>
  <si>
    <t>All values from Assumptions and Pro-Forma. Do not edit.</t>
  </si>
  <si>
    <t>CASH POSITION</t>
  </si>
  <si>
    <t>Beginning Cash Balance</t>
  </si>
  <si>
    <t>CASH IN</t>
  </si>
  <si>
    <t>Commission Received</t>
  </si>
  <si>
    <t>Carrier Contingent Bonus</t>
  </si>
  <si>
    <t>Total Cash In</t>
  </si>
  <si>
    <t>CASH OUT</t>
  </si>
  <si>
    <t>Total Expenses</t>
  </si>
  <si>
    <t>NET CASH FLOW</t>
  </si>
  <si>
    <t>Monthly Net Cash Flow</t>
  </si>
  <si>
    <t>Ending Cash Balance</t>
  </si>
  <si>
    <t>Cash Runway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</si>
</sst>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dd/yyyy"/>
    <numFmt numFmtId="165" formatCode="\$#,##0"/>
    <numFmt numFmtId="166" formatCode="0.0%"/>
    <numFmt numFmtId="167" formatCode="0.00\x"/>
    <numFmt numFmtId="168" formatCode="0.0"/>
    <numFmt numFmtId="169" formatCode="\$#,##0;&quot;($&quot;#,##0\);\-"/>
    <numFmt numFmtId="170" formatCode="\$#,##0;&quot;($&quot;#,##0\)"/>
  </numFmts>
  <fonts count="27" x14ac:knownFonts="1">
    <font>
      <sz val="11"/>
      <color theme="1"/>
      <name val="Calibri"/>
      <family val="2"/>
      <charset val="1"/>
    </font>
    <font>
      <b/>
      <sz val="18"/>
      <color rgb="FF1B3A4B"/>
      <name val="Arial"/>
      <family val="2"/>
    </font>
    <font>
      <b/>
      <sz val="13"/>
      <color rgb="FF3D6B7E"/>
      <name val="Arial"/>
      <family val="2"/>
    </font>
    <font>
      <b/>
      <sz val="10"/>
      <color rgb="FF333333"/>
      <name val="Arial"/>
      <family val="2"/>
    </font>
    <font>
      <sz val="10"/>
      <color rgb="FF0000FF"/>
      <name val="Arial"/>
      <family val="2"/>
    </font>
    <font>
      <sz val="10"/>
      <color rgb="FF333333"/>
      <name val="Arial"/>
      <family val="2"/>
    </font>
    <font>
      <sz val="9"/>
      <color rgb="FF555555"/>
      <name val="Arial"/>
      <family val="2"/>
    </font>
    <font>
      <i/>
      <sz val="9"/>
      <color rgb="FF888888"/>
      <name val="Arial"/>
      <family val="2"/>
    </font>
    <font>
      <b/>
      <sz val="11"/>
      <color rgb="FF1B3A4B"/>
      <name val="Arial"/>
      <family val="2"/>
    </font>
    <font>
      <b/>
      <sz val="10"/>
      <color rgb="FFFFFFFF"/>
      <name val="Arial"/>
      <family val="2"/>
    </font>
    <font>
      <b/>
      <sz val="10"/>
      <name val="Arial"/>
      <family val="2"/>
    </font>
    <font>
      <sz val="9"/>
      <color rgb="FF666666"/>
      <name val="Arial"/>
      <family val="2"/>
    </font>
    <font>
      <sz val="9"/>
      <color rgb="FF000000"/>
      <name val="Arial"/>
      <family val="2"/>
    </font>
    <font>
      <b/>
      <sz val="10"/>
      <color rgb="FF1B3A4B"/>
      <name val="Arial"/>
      <family val="2"/>
    </font>
    <font>
      <b/>
      <sz val="9"/>
      <color rgb="FFFFFFFF"/>
      <name val="Arial"/>
      <family val="2"/>
    </font>
    <font>
      <b/>
      <sz val="9"/>
      <color rgb="FF000000"/>
      <name val="Arial"/>
      <family val="2"/>
    </font>
    <font>
      <b/>
      <sz val="9"/>
      <color rgb="FF1B3A4B"/>
      <name val="Arial"/>
      <family val="2"/>
    </font>
    <font>
      <sz val="9"/>
      <color rgb="FF333333"/>
      <name val="Arial"/>
      <family val="2"/>
    </font>
    <font>
      <sz val="9"/>
      <color rgb="FFE74C3C"/>
      <name val="Arial"/>
      <family val="2"/>
    </font>
    <font>
      <b/>
      <sz val="9"/>
      <color rgb="FF27AE60"/>
      <name val="Arial"/>
      <family val="2"/>
    </font>
    <font>
      <b/>
      <sz val="9"/>
      <color rgb="FFFF8C00"/>
      <name val="Arial"/>
      <family val="2"/>
    </font>
    <font>
      <sz val="9"/>
      <color rgb="FF888888"/>
      <name val="Arial"/>
      <family val="2"/>
    </font>
    <font>
      <b/>
      <sz val="9"/>
      <color rgb="FF888888"/>
      <name val="Arial"/>
      <family val="2"/>
    </font>
    <font>
      <b/>
      <sz val="9"/>
      <color rgb="FFE74C3C"/>
      <name val="Arial"/>
      <family val="2"/>
    </font>
    <font>
      <b/>
      <sz val="9"/>
      <color rgb="FF3D6B7E"/>
      <name val="Arial"/>
      <family val="2"/>
    </font>
    <font>
      <sz val="9"/>
      <color rgb="FF27AE60"/>
      <name val="Arial"/>
      <family val="2"/>
    </font>
    <font>
      <sz val="9"/>
      <color rgb="FFFF8C00"/>
      <name val="Arial"/>
      <family val="2"/>
    </font>
  </fonts>
  <fills count="15">
    <fill>
      <patternFill patternType="none"/>
    </fill>
    <fill>
      <patternFill patternType="gray125"/>
    </fill>
    <fill>
      <patternFill patternType="solid">
        <fgColor rgb="FFFFF8E1"/>
        <bgColor rgb="FFF5F5F5"/>
      </patternFill>
    </fill>
    <fill>
      <patternFill patternType="solid">
        <fgColor rgb="FFD5E8D4"/>
        <bgColor rgb="FFD4EDDA"/>
      </patternFill>
    </fill>
    <fill>
      <patternFill patternType="solid">
        <fgColor rgb="FFFFE0B2"/>
        <bgColor rgb="FFF5D5D5"/>
      </patternFill>
    </fill>
    <fill>
      <patternFill patternType="solid">
        <fgColor rgb="FFD6EAF8"/>
        <bgColor rgb="FFE3F2FD"/>
      </patternFill>
    </fill>
    <fill>
      <patternFill patternType="solid">
        <fgColor rgb="FF1B3A4B"/>
        <bgColor rgb="FF333333"/>
      </patternFill>
    </fill>
    <fill>
      <patternFill patternType="solid">
        <fgColor rgb="FFF5F5F5"/>
        <bgColor rgb="FFE8F8E8"/>
      </patternFill>
    </fill>
    <fill>
      <patternFill patternType="solid">
        <fgColor rgb="FFE3F2FD"/>
        <bgColor rgb="FFE8F8E8"/>
      </patternFill>
    </fill>
    <fill>
      <patternFill patternType="solid">
        <fgColor rgb="FFD4EDDA"/>
        <bgColor rgb="FFD5E8D4"/>
      </patternFill>
    </fill>
    <fill>
      <patternFill patternType="solid">
        <fgColor rgb="FF2E7D32"/>
        <bgColor rgb="FF1B5E20"/>
      </patternFill>
    </fill>
    <fill>
      <patternFill patternType="solid">
        <fgColor rgb="FF1B5E20"/>
        <bgColor rgb="FF2E7D32"/>
      </patternFill>
    </fill>
    <fill>
      <patternFill patternType="solid">
        <fgColor rgb="FFE8F8E8"/>
        <bgColor rgb="FFF5F5F5"/>
      </patternFill>
    </fill>
    <fill>
      <patternFill patternType="solid">
        <fgColor rgb="FFFDE8E8"/>
        <bgColor rgb="FFF5F5F5"/>
      </patternFill>
    </fill>
    <fill>
      <patternFill patternType="solid">
        <fgColor rgb="FFF5D5D5"/>
        <bgColor rgb="FFFFE0B2"/>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13">
    <xf numFmtId="0" fontId="0" fillId="0" borderId="0" xfId="0"/>
    <xf numFmtId="0" fontId="7" fillId="0" borderId="0" xfId="0" applyFont="1"/>
    <xf numFmtId="0" fontId="3" fillId="0" borderId="0" xfId="0" applyFont="1" applyAlignment="1">
      <alignment horizontal="right" vertical="center"/>
    </xf>
    <xf numFmtId="0" fontId="4" fillId="2" borderId="1" xfId="0" applyFont="1" applyFill="1" applyBorder="1" applyAlignment="1">
      <alignment horizontal="left" vertical="center"/>
    </xf>
    <xf numFmtId="0" fontId="3" fillId="0" borderId="0" xfId="0" applyFont="1" applyAlignment="1">
      <alignment horizontal="right" vertical="top"/>
    </xf>
    <xf numFmtId="0" fontId="5" fillId="0" borderId="0" xfId="0" applyFont="1" applyAlignment="1">
      <alignment horizontal="left" vertical="top" wrapText="1"/>
    </xf>
    <xf numFmtId="0" fontId="5" fillId="2" borderId="0" xfId="0" applyFont="1" applyFill="1"/>
    <xf numFmtId="0" fontId="5" fillId="0" borderId="0" xfId="0" applyFont="1"/>
    <xf numFmtId="0" fontId="4" fillId="0" borderId="0" xfId="0" applyFont="1"/>
    <xf numFmtId="0" fontId="5" fillId="3" borderId="0" xfId="0" applyFont="1" applyFill="1"/>
    <xf numFmtId="0" fontId="5" fillId="4" borderId="0" xfId="0" applyFont="1" applyFill="1"/>
    <xf numFmtId="0" fontId="8" fillId="5" borderId="1" xfId="0" applyFont="1" applyFill="1" applyBorder="1"/>
    <xf numFmtId="0" fontId="0" fillId="5" borderId="1" xfId="0" applyFill="1" applyBorder="1"/>
    <xf numFmtId="0" fontId="5" fillId="0" borderId="1" xfId="0" applyFont="1" applyBorder="1" applyAlignment="1">
      <alignment horizontal="left" vertical="center"/>
    </xf>
    <xf numFmtId="164" fontId="4" fillId="2"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xf>
    <xf numFmtId="0" fontId="3" fillId="0" borderId="1" xfId="0" applyFont="1" applyBorder="1" applyAlignment="1">
      <alignment horizontal="left" vertical="center"/>
    </xf>
    <xf numFmtId="1"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3" fillId="7" borderId="1" xfId="0" applyFont="1" applyFill="1" applyBorder="1"/>
    <xf numFmtId="1" fontId="10" fillId="7" borderId="1" xfId="0" applyNumberFormat="1" applyFont="1" applyFill="1" applyBorder="1" applyAlignment="1">
      <alignment horizontal="center" vertical="center"/>
    </xf>
    <xf numFmtId="165" fontId="10" fillId="7" borderId="1" xfId="0" applyNumberFormat="1" applyFont="1" applyFill="1" applyBorder="1" applyAlignment="1">
      <alignment horizontal="center" vertical="center"/>
    </xf>
    <xf numFmtId="166" fontId="10" fillId="7" borderId="1" xfId="0" applyNumberFormat="1" applyFont="1" applyFill="1" applyBorder="1" applyAlignment="1">
      <alignment horizontal="center" vertical="center"/>
    </xf>
    <xf numFmtId="0" fontId="3" fillId="8" borderId="1" xfId="0" applyFont="1" applyFill="1" applyBorder="1" applyAlignment="1">
      <alignment horizontal="left" vertical="center"/>
    </xf>
    <xf numFmtId="49" fontId="4" fillId="8" borderId="1" xfId="0" applyNumberFormat="1" applyFont="1" applyFill="1" applyBorder="1" applyAlignment="1">
      <alignment horizontal="center" vertical="center"/>
    </xf>
    <xf numFmtId="165" fontId="4" fillId="8" borderId="1" xfId="0" applyNumberFormat="1" applyFont="1" applyFill="1" applyBorder="1" applyAlignment="1">
      <alignment horizontal="center" vertical="center"/>
    </xf>
    <xf numFmtId="164" fontId="4" fillId="8" borderId="1" xfId="0" applyNumberFormat="1" applyFont="1" applyFill="1" applyBorder="1" applyAlignment="1">
      <alignment horizontal="center" vertical="center"/>
    </xf>
    <xf numFmtId="1" fontId="11" fillId="8" borderId="1" xfId="0" applyNumberFormat="1" applyFont="1" applyFill="1" applyBorder="1" applyAlignment="1">
      <alignment horizontal="center" vertical="center"/>
    </xf>
    <xf numFmtId="1" fontId="4" fillId="8" borderId="1" xfId="0" applyNumberFormat="1" applyFont="1" applyFill="1" applyBorder="1" applyAlignment="1">
      <alignment horizontal="center" vertical="center"/>
    </xf>
    <xf numFmtId="1" fontId="11" fillId="7" borderId="1" xfId="0" applyNumberFormat="1" applyFont="1" applyFill="1" applyBorder="1" applyAlignment="1">
      <alignment horizontal="center" vertical="center"/>
    </xf>
    <xf numFmtId="167" fontId="4" fillId="2" borderId="1"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9" fillId="6" borderId="1" xfId="0" applyFont="1" applyFill="1" applyBorder="1" applyAlignment="1">
      <alignment horizontal="center" vertical="center"/>
    </xf>
    <xf numFmtId="166" fontId="4" fillId="4" borderId="1" xfId="0" applyNumberFormat="1" applyFont="1" applyFill="1" applyBorder="1" applyAlignment="1">
      <alignment horizontal="center" vertical="center"/>
    </xf>
    <xf numFmtId="0" fontId="3" fillId="7" borderId="1" xfId="0" applyFont="1" applyFill="1" applyBorder="1" applyAlignment="1">
      <alignment horizontal="left" vertical="center"/>
    </xf>
    <xf numFmtId="168" fontId="4" fillId="2" borderId="1" xfId="0" applyNumberFormat="1" applyFont="1" applyFill="1" applyBorder="1" applyAlignment="1">
      <alignment horizontal="center" vertical="center"/>
    </xf>
    <xf numFmtId="0" fontId="5" fillId="0" borderId="1" xfId="0" applyFont="1" applyBorder="1"/>
    <xf numFmtId="165" fontId="12" fillId="0" borderId="1" xfId="0" applyNumberFormat="1" applyFont="1" applyBorder="1" applyAlignment="1">
      <alignment horizontal="center" vertical="center"/>
    </xf>
    <xf numFmtId="0" fontId="3" fillId="9" borderId="1" xfId="0" applyFont="1" applyFill="1" applyBorder="1" applyAlignment="1">
      <alignment horizontal="left" vertical="center"/>
    </xf>
    <xf numFmtId="165" fontId="13" fillId="9" borderId="1" xfId="0" applyNumberFormat="1" applyFont="1" applyFill="1" applyBorder="1" applyAlignment="1">
      <alignment horizontal="center" vertical="center"/>
    </xf>
    <xf numFmtId="169" fontId="10" fillId="0" borderId="1" xfId="0" applyNumberFormat="1" applyFont="1" applyBorder="1" applyAlignment="1">
      <alignment horizontal="center" vertical="center"/>
    </xf>
    <xf numFmtId="0" fontId="0" fillId="6" borderId="1" xfId="0" applyFill="1" applyBorder="1"/>
    <xf numFmtId="0" fontId="14" fillId="6"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5" fillId="0" borderId="1" xfId="0" applyFont="1" applyBorder="1"/>
    <xf numFmtId="3" fontId="15" fillId="0" borderId="1" xfId="0" applyNumberFormat="1" applyFont="1" applyBorder="1" applyAlignment="1">
      <alignment horizontal="center" vertical="center"/>
    </xf>
    <xf numFmtId="3" fontId="15" fillId="7" borderId="1" xfId="0" applyNumberFormat="1" applyFont="1" applyFill="1" applyBorder="1" applyAlignment="1">
      <alignment horizontal="center" vertical="center"/>
    </xf>
    <xf numFmtId="3" fontId="16" fillId="3" borderId="1" xfId="0" applyNumberFormat="1" applyFont="1" applyFill="1" applyBorder="1" applyAlignment="1">
      <alignment horizontal="center" vertical="center"/>
    </xf>
    <xf numFmtId="0" fontId="17" fillId="0" borderId="1" xfId="0" applyFont="1" applyBorder="1"/>
    <xf numFmtId="3" fontId="12" fillId="0" borderId="1" xfId="0" applyNumberFormat="1" applyFont="1" applyBorder="1" applyAlignment="1">
      <alignment horizontal="center" vertical="center"/>
    </xf>
    <xf numFmtId="3" fontId="12" fillId="7" borderId="1" xfId="0" applyNumberFormat="1" applyFont="1" applyFill="1" applyBorder="1" applyAlignment="1">
      <alignment horizontal="center" vertical="center"/>
    </xf>
    <xf numFmtId="3" fontId="18" fillId="0" borderId="1" xfId="0" applyNumberFormat="1" applyFont="1" applyBorder="1" applyAlignment="1">
      <alignment horizontal="center" vertical="center"/>
    </xf>
    <xf numFmtId="3" fontId="18" fillId="7" borderId="1" xfId="0" applyNumberFormat="1" applyFont="1" applyFill="1" applyBorder="1" applyAlignment="1">
      <alignment horizontal="center" vertical="center"/>
    </xf>
    <xf numFmtId="0" fontId="16" fillId="12" borderId="1" xfId="0" applyFont="1" applyFill="1" applyBorder="1"/>
    <xf numFmtId="3" fontId="16" fillId="12" borderId="1" xfId="0" applyNumberFormat="1" applyFont="1" applyFill="1" applyBorder="1" applyAlignment="1">
      <alignment horizontal="center" vertical="center"/>
    </xf>
    <xf numFmtId="165" fontId="12" fillId="7" borderId="1" xfId="0" applyNumberFormat="1" applyFont="1" applyFill="1" applyBorder="1" applyAlignment="1">
      <alignment horizontal="center" vertical="center"/>
    </xf>
    <xf numFmtId="165" fontId="16" fillId="3" borderId="1" xfId="0" applyNumberFormat="1" applyFont="1" applyFill="1" applyBorder="1" applyAlignment="1">
      <alignment horizontal="center" vertical="center"/>
    </xf>
    <xf numFmtId="165" fontId="16" fillId="12" borderId="1" xfId="0" applyNumberFormat="1" applyFont="1" applyFill="1" applyBorder="1" applyAlignment="1">
      <alignment horizontal="center" vertical="center"/>
    </xf>
    <xf numFmtId="0" fontId="19" fillId="0" borderId="1" xfId="0" applyFont="1" applyBorder="1"/>
    <xf numFmtId="165" fontId="19" fillId="0" borderId="1" xfId="0" applyNumberFormat="1" applyFont="1" applyBorder="1" applyAlignment="1">
      <alignment horizontal="center" vertical="center"/>
    </xf>
    <xf numFmtId="165" fontId="19" fillId="7" borderId="1" xfId="0" applyNumberFormat="1" applyFont="1" applyFill="1" applyBorder="1" applyAlignment="1">
      <alignment horizontal="center" vertical="center"/>
    </xf>
    <xf numFmtId="165" fontId="19" fillId="3" borderId="1" xfId="0" applyNumberFormat="1" applyFont="1" applyFill="1" applyBorder="1" applyAlignment="1">
      <alignment horizontal="center" vertical="center"/>
    </xf>
    <xf numFmtId="0" fontId="20" fillId="0" borderId="1" xfId="0" applyFont="1" applyBorder="1"/>
    <xf numFmtId="165" fontId="20" fillId="0" borderId="1" xfId="0" applyNumberFormat="1" applyFont="1" applyBorder="1" applyAlignment="1">
      <alignment horizontal="center" vertical="center"/>
    </xf>
    <xf numFmtId="165" fontId="15" fillId="0" borderId="1" xfId="0" applyNumberFormat="1" applyFont="1" applyBorder="1" applyAlignment="1">
      <alignment horizontal="center" vertical="center"/>
    </xf>
    <xf numFmtId="165" fontId="15" fillId="7" borderId="1" xfId="0" applyNumberFormat="1" applyFont="1" applyFill="1" applyBorder="1" applyAlignment="1">
      <alignment horizontal="center" vertical="center"/>
    </xf>
    <xf numFmtId="165" fontId="15" fillId="3" borderId="1" xfId="0" applyNumberFormat="1" applyFont="1" applyFill="1" applyBorder="1" applyAlignment="1">
      <alignment horizontal="center" vertical="center"/>
    </xf>
    <xf numFmtId="0" fontId="7" fillId="0" borderId="1" xfId="0" applyFont="1" applyBorder="1"/>
    <xf numFmtId="165" fontId="21" fillId="0" borderId="1" xfId="0" applyNumberFormat="1" applyFont="1" applyBorder="1" applyAlignment="1">
      <alignment horizontal="center" vertical="center"/>
    </xf>
    <xf numFmtId="165" fontId="21" fillId="7" borderId="1" xfId="0" applyNumberFormat="1" applyFont="1" applyFill="1" applyBorder="1" applyAlignment="1">
      <alignment horizontal="center" vertical="center"/>
    </xf>
    <xf numFmtId="165" fontId="22" fillId="3" borderId="1" xfId="0" applyNumberFormat="1" applyFont="1" applyFill="1" applyBorder="1" applyAlignment="1">
      <alignment horizontal="center" vertical="center"/>
    </xf>
    <xf numFmtId="0" fontId="23" fillId="13" borderId="1" xfId="0" applyFont="1" applyFill="1" applyBorder="1"/>
    <xf numFmtId="165" fontId="23" fillId="13" borderId="1" xfId="0" applyNumberFormat="1" applyFont="1" applyFill="1" applyBorder="1" applyAlignment="1">
      <alignment horizontal="center" vertical="center"/>
    </xf>
    <xf numFmtId="165" fontId="23" fillId="14" borderId="1" xfId="0" applyNumberFormat="1" applyFont="1" applyFill="1" applyBorder="1" applyAlignment="1">
      <alignment horizontal="center" vertical="center"/>
    </xf>
    <xf numFmtId="169" fontId="15" fillId="0" borderId="1" xfId="0" applyNumberFormat="1" applyFont="1" applyBorder="1" applyAlignment="1">
      <alignment horizontal="center" vertical="center"/>
    </xf>
    <xf numFmtId="169" fontId="15" fillId="7" borderId="1" xfId="0" applyNumberFormat="1" applyFont="1" applyFill="1" applyBorder="1" applyAlignment="1">
      <alignment horizontal="center" vertical="center"/>
    </xf>
    <xf numFmtId="169" fontId="16" fillId="3" borderId="1" xfId="0" applyNumberFormat="1" applyFont="1" applyFill="1" applyBorder="1" applyAlignment="1">
      <alignment horizontal="center" vertical="center"/>
    </xf>
    <xf numFmtId="169" fontId="12" fillId="0" borderId="1" xfId="0" applyNumberFormat="1" applyFont="1" applyBorder="1" applyAlignment="1">
      <alignment horizontal="center" vertical="center"/>
    </xf>
    <xf numFmtId="169" fontId="12" fillId="7"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49" fontId="12" fillId="7" borderId="1" xfId="0" applyNumberFormat="1" applyFont="1" applyFill="1" applyBorder="1" applyAlignment="1">
      <alignment horizontal="center" vertical="center"/>
    </xf>
    <xf numFmtId="0" fontId="16" fillId="0" borderId="1" xfId="0" applyFont="1" applyBorder="1"/>
    <xf numFmtId="165" fontId="20" fillId="3" borderId="1" xfId="0" applyNumberFormat="1" applyFont="1" applyFill="1" applyBorder="1" applyAlignment="1">
      <alignment horizontal="center" vertical="center"/>
    </xf>
    <xf numFmtId="0" fontId="24" fillId="0" borderId="1" xfId="0" applyFont="1" applyBorder="1"/>
    <xf numFmtId="165" fontId="24" fillId="3" borderId="1" xfId="0" applyNumberFormat="1" applyFont="1" applyFill="1" applyBorder="1" applyAlignment="1">
      <alignment horizontal="center" vertical="center"/>
    </xf>
    <xf numFmtId="170" fontId="16" fillId="0" borderId="1" xfId="0" applyNumberFormat="1" applyFont="1" applyBorder="1" applyAlignment="1">
      <alignment horizontal="center" vertical="center"/>
    </xf>
    <xf numFmtId="170" fontId="16" fillId="7" borderId="1" xfId="0" applyNumberFormat="1" applyFont="1" applyFill="1" applyBorder="1" applyAlignment="1">
      <alignment horizontal="center" vertical="center"/>
    </xf>
    <xf numFmtId="170" fontId="16" fillId="3" borderId="1" xfId="0" applyNumberFormat="1" applyFont="1" applyFill="1" applyBorder="1" applyAlignment="1">
      <alignment horizontal="center" vertical="center"/>
    </xf>
    <xf numFmtId="170" fontId="25" fillId="0" borderId="1" xfId="0" applyNumberFormat="1" applyFont="1" applyBorder="1" applyAlignment="1">
      <alignment horizontal="center" vertical="center"/>
    </xf>
    <xf numFmtId="170" fontId="25" fillId="7" borderId="1" xfId="0" applyNumberFormat="1" applyFont="1" applyFill="1" applyBorder="1" applyAlignment="1">
      <alignment horizontal="center" vertical="center"/>
    </xf>
    <xf numFmtId="170" fontId="19" fillId="3" borderId="1" xfId="0" applyNumberFormat="1" applyFont="1" applyFill="1" applyBorder="1" applyAlignment="1">
      <alignment horizontal="center" vertical="center"/>
    </xf>
    <xf numFmtId="170" fontId="26" fillId="0" borderId="1" xfId="0" applyNumberFormat="1" applyFont="1" applyBorder="1" applyAlignment="1">
      <alignment horizontal="center" vertical="center"/>
    </xf>
    <xf numFmtId="170" fontId="26" fillId="7" borderId="1" xfId="0" applyNumberFormat="1" applyFont="1" applyFill="1" applyBorder="1" applyAlignment="1">
      <alignment horizontal="center" vertical="center"/>
    </xf>
    <xf numFmtId="170" fontId="20" fillId="3" borderId="1" xfId="0" applyNumberFormat="1" applyFont="1" applyFill="1" applyBorder="1" applyAlignment="1">
      <alignment horizontal="center" vertical="center"/>
    </xf>
    <xf numFmtId="170" fontId="15" fillId="0" borderId="1" xfId="0" applyNumberFormat="1" applyFont="1" applyBorder="1" applyAlignment="1">
      <alignment horizontal="center" vertical="center"/>
    </xf>
    <xf numFmtId="170" fontId="15" fillId="7" borderId="1" xfId="0" applyNumberFormat="1" applyFont="1" applyFill="1" applyBorder="1" applyAlignment="1">
      <alignment horizontal="center" vertical="center"/>
    </xf>
    <xf numFmtId="170" fontId="15" fillId="3" borderId="1" xfId="0" applyNumberFormat="1" applyFont="1" applyFill="1" applyBorder="1" applyAlignment="1">
      <alignment horizontal="center" vertical="center"/>
    </xf>
    <xf numFmtId="170" fontId="18" fillId="0" borderId="1" xfId="0" applyNumberFormat="1" applyFont="1" applyBorder="1" applyAlignment="1">
      <alignment horizontal="center" vertical="center"/>
    </xf>
    <xf numFmtId="170" fontId="18" fillId="7" borderId="1" xfId="0" applyNumberFormat="1" applyFont="1" applyFill="1" applyBorder="1" applyAlignment="1">
      <alignment horizontal="center" vertical="center"/>
    </xf>
    <xf numFmtId="170" fontId="23" fillId="3" borderId="1" xfId="0" applyNumberFormat="1" applyFont="1" applyFill="1" applyBorder="1" applyAlignment="1">
      <alignment horizontal="center" vertical="center"/>
    </xf>
    <xf numFmtId="170" fontId="16" fillId="12" borderId="1" xfId="0" applyNumberFormat="1" applyFont="1" applyFill="1" applyBorder="1" applyAlignment="1">
      <alignment horizontal="center" vertical="center"/>
    </xf>
    <xf numFmtId="49" fontId="15" fillId="0" borderId="1" xfId="0" applyNumberFormat="1" applyFont="1" applyBorder="1" applyAlignment="1">
      <alignment horizontal="center" vertical="center"/>
    </xf>
    <xf numFmtId="49" fontId="15" fillId="7" borderId="1" xfId="0" applyNumberFormat="1" applyFont="1" applyFill="1" applyBorder="1" applyAlignment="1">
      <alignment horizontal="center" vertical="center"/>
    </xf>
    <xf numFmtId="49" fontId="15" fillId="3" borderId="1" xfId="0" applyNumberFormat="1" applyFont="1" applyFill="1" applyBorder="1" applyAlignment="1">
      <alignment horizontal="center" vertical="center"/>
    </xf>
    <xf numFmtId="0" fontId="9" fillId="11" borderId="1" xfId="0" applyFont="1" applyFill="1" applyBorder="1" applyAlignment="1">
      <alignment horizontal="center" vertical="center"/>
    </xf>
    <xf numFmtId="0" fontId="9" fillId="10" borderId="1" xfId="0" applyFont="1" applyFill="1" applyBorder="1" applyAlignment="1">
      <alignment horizontal="center" vertical="center"/>
    </xf>
    <xf numFmtId="0" fontId="1" fillId="0" borderId="0" xfId="0" applyFont="1"/>
    <xf numFmtId="0" fontId="7" fillId="0" borderId="0" xfId="0" applyFont="1"/>
    <xf numFmtId="0" fontId="6" fillId="0" borderId="0" xfId="0" applyFont="1" applyAlignment="1">
      <alignment horizontal="left" vertical="top" wrapText="1"/>
    </xf>
    <xf numFmtId="0" fontId="2" fillId="0" borderId="0" xfId="0" applyFo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2E7D32"/>
      <rgbColor rgb="FF000080"/>
      <rgbColor rgb="FF808000"/>
      <rgbColor rgb="FF800080"/>
      <rgbColor rgb="FF3D6B7E"/>
      <rgbColor rgb="FFCCCCCC"/>
      <rgbColor rgb="FF888888"/>
      <rgbColor rgb="FF9999FF"/>
      <rgbColor rgb="FF8E44AD"/>
      <rgbColor rgb="FFFFF8E1"/>
      <rgbColor rgb="FFE3F2FD"/>
      <rgbColor rgb="FF660066"/>
      <rgbColor rgb="FFE74C3C"/>
      <rgbColor rgb="FF0066CC"/>
      <rgbColor rgb="FFD5E8D4"/>
      <rgbColor rgb="FF000080"/>
      <rgbColor rgb="FFFF00FF"/>
      <rgbColor rgb="FFFFFF00"/>
      <rgbColor rgb="FF00FFFF"/>
      <rgbColor rgb="FF800080"/>
      <rgbColor rgb="FF800000"/>
      <rgbColor rgb="FF008080"/>
      <rgbColor rgb="FF0000FF"/>
      <rgbColor rgb="FF00CCFF"/>
      <rgbColor rgb="FFD6EAF8"/>
      <rgbColor rgb="FFD4EDDA"/>
      <rgbColor rgb="FFE8F8E8"/>
      <rgbColor rgb="FFFDE8E8"/>
      <rgbColor rgb="FFF5D5D5"/>
      <rgbColor rgb="FFF5F5F5"/>
      <rgbColor rgb="FFFFE0B2"/>
      <rgbColor rgb="FF3366FF"/>
      <rgbColor rgb="FF33CCCC"/>
      <rgbColor rgb="FF99CC00"/>
      <rgbColor rgb="FFFFCC00"/>
      <rgbColor rgb="FFF39C12"/>
      <rgbColor rgb="FFFF8C00"/>
      <rgbColor rgb="FF666666"/>
      <rgbColor rgb="FF969696"/>
      <rgbColor rgb="FF1B3A4B"/>
      <rgbColor rgb="FF27AE60"/>
      <rgbColor rgb="FF003300"/>
      <rgbColor rgb="FF1B5E20"/>
      <rgbColor rgb="FF993300"/>
      <rgbColor rgb="FF993366"/>
      <rgbColor rgb="FF555555"/>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3A4B"/>
  </sheetPr>
  <dimension ref="B2:C35"/>
  <sheetViews>
    <sheetView tabSelected="1" zoomScaleNormal="100" workbookViewId="0"/>
  </sheetViews>
  <sheetFormatPr baseColWidth="10" defaultColWidth="8.6640625" defaultRowHeight="15" x14ac:dyDescent="0.2"/>
  <cols>
    <col min="1" max="1" width="3" customWidth="1"/>
    <col min="2" max="2" width="25" customWidth="1"/>
    <col min="3" max="3" width="98.83203125" customWidth="1"/>
  </cols>
  <sheetData>
    <row r="2" spans="2:3" ht="34.5" customHeight="1" x14ac:dyDescent="0.25">
      <c r="B2" s="109" t="s">
        <v>0</v>
      </c>
      <c r="C2" s="109"/>
    </row>
    <row r="3" spans="2:3" ht="17" x14ac:dyDescent="0.2">
      <c r="B3" s="112" t="s">
        <v>1</v>
      </c>
      <c r="C3" s="112"/>
    </row>
    <row r="6" spans="2:3" ht="27.75" customHeight="1" x14ac:dyDescent="0.2">
      <c r="B6" s="2" t="s">
        <v>2</v>
      </c>
      <c r="C6" s="3"/>
    </row>
    <row r="7" spans="2:3" ht="27.75" customHeight="1" x14ac:dyDescent="0.2">
      <c r="B7" s="2" t="s">
        <v>3</v>
      </c>
      <c r="C7" s="3"/>
    </row>
    <row r="8" spans="2:3" ht="27.75" customHeight="1" x14ac:dyDescent="0.2">
      <c r="B8" s="2" t="s">
        <v>4</v>
      </c>
      <c r="C8" s="3"/>
    </row>
    <row r="9" spans="2:3" ht="27.75" customHeight="1" x14ac:dyDescent="0.2">
      <c r="B9" s="2" t="s">
        <v>5</v>
      </c>
      <c r="C9" s="3"/>
    </row>
    <row r="12" spans="2:3" ht="17" x14ac:dyDescent="0.2">
      <c r="B12" s="112" t="s">
        <v>6</v>
      </c>
      <c r="C12" s="112"/>
    </row>
    <row r="13" spans="2:3" ht="28" x14ac:dyDescent="0.2">
      <c r="B13" s="4" t="s">
        <v>7</v>
      </c>
      <c r="C13" s="5" t="s">
        <v>8</v>
      </c>
    </row>
    <row r="14" spans="2:3" ht="28" x14ac:dyDescent="0.2">
      <c r="B14" s="4" t="s">
        <v>9</v>
      </c>
      <c r="C14" s="5" t="s">
        <v>10</v>
      </c>
    </row>
    <row r="15" spans="2:3" x14ac:dyDescent="0.2">
      <c r="B15" s="4" t="s">
        <v>11</v>
      </c>
      <c r="C15" s="5" t="s">
        <v>12</v>
      </c>
    </row>
    <row r="16" spans="2:3" ht="28" x14ac:dyDescent="0.2">
      <c r="B16" s="4" t="s">
        <v>13</v>
      </c>
      <c r="C16" s="5" t="s">
        <v>14</v>
      </c>
    </row>
    <row r="17" spans="2:3" ht="28" x14ac:dyDescent="0.2">
      <c r="B17" s="4" t="s">
        <v>15</v>
      </c>
      <c r="C17" s="5" t="s">
        <v>16</v>
      </c>
    </row>
    <row r="18" spans="2:3" ht="28" x14ac:dyDescent="0.2">
      <c r="B18" s="4" t="s">
        <v>17</v>
      </c>
      <c r="C18" s="5" t="s">
        <v>18</v>
      </c>
    </row>
    <row r="21" spans="2:3" ht="17" x14ac:dyDescent="0.2">
      <c r="B21" s="112" t="s">
        <v>19</v>
      </c>
      <c r="C21" s="112"/>
    </row>
    <row r="22" spans="2:3" x14ac:dyDescent="0.2">
      <c r="B22" s="6" t="s">
        <v>20</v>
      </c>
      <c r="C22" s="7" t="s">
        <v>21</v>
      </c>
    </row>
    <row r="23" spans="2:3" x14ac:dyDescent="0.2">
      <c r="B23" s="8" t="s">
        <v>22</v>
      </c>
      <c r="C23" s="7" t="s">
        <v>23</v>
      </c>
    </row>
    <row r="24" spans="2:3" x14ac:dyDescent="0.2">
      <c r="B24" s="9" t="s">
        <v>24</v>
      </c>
      <c r="C24" s="7" t="s">
        <v>25</v>
      </c>
    </row>
    <row r="25" spans="2:3" x14ac:dyDescent="0.2">
      <c r="B25" s="10" t="s">
        <v>26</v>
      </c>
      <c r="C25" s="7" t="s">
        <v>27</v>
      </c>
    </row>
    <row r="28" spans="2:3" ht="17" x14ac:dyDescent="0.2">
      <c r="B28" s="112" t="s">
        <v>28</v>
      </c>
      <c r="C28" s="112"/>
    </row>
    <row r="29" spans="2:3" ht="15" customHeight="1" x14ac:dyDescent="0.2">
      <c r="B29" s="111" t="s">
        <v>29</v>
      </c>
      <c r="C29" s="111"/>
    </row>
    <row r="30" spans="2:3" x14ac:dyDescent="0.2">
      <c r="B30" s="111"/>
      <c r="C30" s="111"/>
    </row>
    <row r="31" spans="2:3" x14ac:dyDescent="0.2">
      <c r="B31" s="111"/>
      <c r="C31" s="111"/>
    </row>
    <row r="32" spans="2:3" x14ac:dyDescent="0.2">
      <c r="B32" s="111"/>
      <c r="C32" s="111"/>
    </row>
    <row r="33" spans="2:3" x14ac:dyDescent="0.2">
      <c r="B33" s="111"/>
      <c r="C33" s="111"/>
    </row>
    <row r="34" spans="2:3" x14ac:dyDescent="0.2">
      <c r="B34" s="111"/>
      <c r="C34" s="111"/>
    </row>
    <row r="35" spans="2:3" x14ac:dyDescent="0.2">
      <c r="B35" s="111"/>
      <c r="C35" s="111"/>
    </row>
  </sheetData>
  <mergeCells count="6">
    <mergeCell ref="B29:C35"/>
    <mergeCell ref="B2:C2"/>
    <mergeCell ref="B3:C3"/>
    <mergeCell ref="B12:C12"/>
    <mergeCell ref="B21:C21"/>
    <mergeCell ref="B28:C28"/>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39C12"/>
  </sheetPr>
  <dimension ref="B1:I88"/>
  <sheetViews>
    <sheetView showGridLines="0" topLeftCell="A59" zoomScaleNormal="100" workbookViewId="0">
      <selection activeCell="D69" sqref="D69"/>
    </sheetView>
  </sheetViews>
  <sheetFormatPr baseColWidth="10" defaultColWidth="8.6640625" defaultRowHeight="15" x14ac:dyDescent="0.2"/>
  <cols>
    <col min="1" max="1" width="3" customWidth="1"/>
    <col min="2" max="2" width="40" customWidth="1"/>
    <col min="3" max="3" width="12" customWidth="1"/>
    <col min="4" max="5" width="16" customWidth="1"/>
    <col min="6" max="6" width="10" customWidth="1"/>
    <col min="7" max="7" width="14" customWidth="1"/>
    <col min="8" max="8" width="12" customWidth="1"/>
    <col min="9" max="9" width="14" customWidth="1"/>
  </cols>
  <sheetData>
    <row r="1" spans="2:9" ht="34.5" customHeight="1" x14ac:dyDescent="0.25">
      <c r="B1" s="109" t="s">
        <v>30</v>
      </c>
      <c r="C1" s="109"/>
      <c r="D1" s="109"/>
      <c r="E1" s="109"/>
      <c r="F1" s="109"/>
    </row>
    <row r="2" spans="2:9" x14ac:dyDescent="0.2">
      <c r="B2" s="110" t="s">
        <v>31</v>
      </c>
      <c r="C2" s="110"/>
      <c r="D2" s="110"/>
      <c r="E2" s="110"/>
      <c r="F2" s="110"/>
    </row>
    <row r="4" spans="2:9" x14ac:dyDescent="0.2">
      <c r="B4" s="11" t="s">
        <v>32</v>
      </c>
      <c r="C4" s="12"/>
      <c r="E4" s="11" t="s">
        <v>33</v>
      </c>
      <c r="F4" s="12"/>
      <c r="G4" s="12"/>
      <c r="H4" s="12"/>
      <c r="I4" s="12"/>
    </row>
    <row r="5" spans="2:9" ht="36" customHeight="1" x14ac:dyDescent="0.2">
      <c r="B5" s="13" t="s">
        <v>34</v>
      </c>
      <c r="C5" s="14">
        <v>46023</v>
      </c>
      <c r="E5" s="15" t="s">
        <v>35</v>
      </c>
      <c r="F5" s="15" t="s">
        <v>36</v>
      </c>
      <c r="G5" s="15" t="s">
        <v>37</v>
      </c>
      <c r="H5" s="15" t="s">
        <v>38</v>
      </c>
      <c r="I5" s="15" t="s">
        <v>39</v>
      </c>
    </row>
    <row r="6" spans="2:9" ht="25.5" customHeight="1" x14ac:dyDescent="0.2">
      <c r="B6" s="13" t="s">
        <v>40</v>
      </c>
      <c r="C6" s="16">
        <v>65000</v>
      </c>
      <c r="E6" s="17" t="s">
        <v>41</v>
      </c>
      <c r="F6" s="18">
        <v>10</v>
      </c>
      <c r="G6" s="16">
        <v>2500</v>
      </c>
      <c r="H6" s="19">
        <v>0.12</v>
      </c>
      <c r="I6" s="19">
        <v>0.88</v>
      </c>
    </row>
    <row r="7" spans="2:9" ht="25.5" customHeight="1" x14ac:dyDescent="0.2">
      <c r="B7" s="13" t="s">
        <v>42</v>
      </c>
      <c r="C7" s="18">
        <v>1</v>
      </c>
      <c r="E7" s="17" t="s">
        <v>43</v>
      </c>
      <c r="F7" s="18">
        <v>10</v>
      </c>
      <c r="G7" s="16">
        <v>2350</v>
      </c>
      <c r="H7" s="19">
        <v>0.15</v>
      </c>
      <c r="I7" s="19">
        <v>0.9</v>
      </c>
    </row>
    <row r="8" spans="2:9" ht="25.5" customHeight="1" x14ac:dyDescent="0.2">
      <c r="B8" s="110" t="s">
        <v>44</v>
      </c>
      <c r="C8" s="110"/>
      <c r="E8" s="17" t="s">
        <v>45</v>
      </c>
      <c r="F8" s="18">
        <v>3</v>
      </c>
      <c r="G8" s="16">
        <v>350</v>
      </c>
      <c r="H8" s="19">
        <v>0.15</v>
      </c>
      <c r="I8" s="19">
        <v>0.75</v>
      </c>
    </row>
    <row r="9" spans="2:9" ht="25.5" customHeight="1" x14ac:dyDescent="0.2">
      <c r="E9" s="17" t="s">
        <v>46</v>
      </c>
      <c r="F9" s="18">
        <v>0</v>
      </c>
      <c r="G9" s="16">
        <v>5000</v>
      </c>
      <c r="H9" s="19">
        <v>0.12</v>
      </c>
      <c r="I9" s="19">
        <v>0.85</v>
      </c>
    </row>
    <row r="10" spans="2:9" ht="25.5" customHeight="1" x14ac:dyDescent="0.2">
      <c r="B10" s="11" t="s">
        <v>47</v>
      </c>
      <c r="C10" s="12"/>
      <c r="E10" s="17" t="s">
        <v>48</v>
      </c>
      <c r="F10" s="18">
        <v>0</v>
      </c>
      <c r="G10" s="16">
        <v>1500</v>
      </c>
      <c r="H10" s="19">
        <v>0.5</v>
      </c>
      <c r="I10" s="19">
        <v>0.8</v>
      </c>
    </row>
    <row r="11" spans="2:9" ht="25.5" customHeight="1" x14ac:dyDescent="0.2">
      <c r="B11" s="13" t="s">
        <v>49</v>
      </c>
      <c r="C11" s="20" t="s">
        <v>50</v>
      </c>
      <c r="E11" s="17" t="s">
        <v>51</v>
      </c>
      <c r="F11" s="18">
        <v>0</v>
      </c>
      <c r="G11" s="16">
        <v>1000</v>
      </c>
      <c r="H11" s="19">
        <v>0.1</v>
      </c>
      <c r="I11" s="19">
        <v>0.85</v>
      </c>
    </row>
    <row r="12" spans="2:9" ht="25.5" customHeight="1" x14ac:dyDescent="0.2">
      <c r="B12" s="13" t="s">
        <v>52</v>
      </c>
      <c r="C12" s="16">
        <v>0</v>
      </c>
      <c r="E12" s="21" t="s">
        <v>53</v>
      </c>
      <c r="F12" s="22">
        <f>SUM(F6:F11)</f>
        <v>23</v>
      </c>
      <c r="G12" s="23">
        <f>IF(SUM(F6:F11)&gt;0,SUMPRODUCT(F6:F11,G6:G11)/SUM(F6:F11),0)</f>
        <v>2154.3478260869565</v>
      </c>
      <c r="H12" s="24">
        <f>IF(SUMPRODUCT(F6:F11,G6:G11)&gt;0,SUMPRODUCT(F6:F11,G6:G11,H6:H11)/SUMPRODUCT(F6:F11,G6:G11),0)</f>
        <v>0.13486377396569121</v>
      </c>
      <c r="I12" s="24">
        <f>IF(SUMPRODUCT(F6:F11,G6:G11)&gt;0,SUMPRODUCT(F6:F11,G6:G11,I6:I11)/SUMPRODUCT(F6:F11,G6:G11),0)</f>
        <v>0.88673057517658926</v>
      </c>
    </row>
    <row r="13" spans="2:9" ht="25.5" customHeight="1" x14ac:dyDescent="0.2">
      <c r="B13" s="13" t="s">
        <v>54</v>
      </c>
      <c r="C13" s="16">
        <v>0</v>
      </c>
      <c r="E13" s="110" t="s">
        <v>55</v>
      </c>
      <c r="F13" s="110"/>
      <c r="G13" s="110"/>
      <c r="H13" s="110"/>
      <c r="I13" s="110"/>
    </row>
    <row r="14" spans="2:9" ht="25.5" customHeight="1" x14ac:dyDescent="0.2">
      <c r="B14" s="13" t="s">
        <v>56</v>
      </c>
      <c r="C14" s="19">
        <v>0.85</v>
      </c>
    </row>
    <row r="15" spans="2:9" ht="25.5" customHeight="1" x14ac:dyDescent="0.2">
      <c r="B15" s="13" t="s">
        <v>57</v>
      </c>
      <c r="C15" s="19">
        <v>0.12</v>
      </c>
    </row>
    <row r="18" spans="2:9" x14ac:dyDescent="0.2">
      <c r="B18" s="11" t="s">
        <v>58</v>
      </c>
      <c r="C18" s="12"/>
      <c r="D18" s="12"/>
      <c r="E18" s="12"/>
      <c r="F18" s="12"/>
      <c r="G18" s="12"/>
      <c r="H18" s="12"/>
      <c r="I18" s="12"/>
    </row>
    <row r="19" spans="2:9" ht="48" customHeight="1" x14ac:dyDescent="0.2">
      <c r="B19" s="15" t="s">
        <v>59</v>
      </c>
      <c r="C19" s="15" t="s">
        <v>60</v>
      </c>
      <c r="D19" s="15" t="s">
        <v>61</v>
      </c>
      <c r="E19" s="15" t="s">
        <v>62</v>
      </c>
      <c r="F19" s="15" t="s">
        <v>63</v>
      </c>
      <c r="G19" s="15" t="s">
        <v>64</v>
      </c>
      <c r="H19" s="15" t="s">
        <v>65</v>
      </c>
      <c r="I19" s="15" t="s">
        <v>66</v>
      </c>
    </row>
    <row r="20" spans="2:9" ht="25.5" customHeight="1" x14ac:dyDescent="0.2">
      <c r="B20" s="25" t="s">
        <v>67</v>
      </c>
      <c r="C20" s="26" t="s">
        <v>68</v>
      </c>
      <c r="D20" s="27">
        <v>5000</v>
      </c>
      <c r="E20" s="28">
        <v>46082</v>
      </c>
      <c r="F20" s="29">
        <f>IF(E20="",0,MAX(1,(YEAR(E20)-YEAR(C5))*12+MONTH(E20)-MONTH(C5)+1))</f>
        <v>3</v>
      </c>
      <c r="G20" s="30">
        <v>25</v>
      </c>
      <c r="H20" s="30">
        <v>6</v>
      </c>
      <c r="I20" s="27">
        <v>0</v>
      </c>
    </row>
    <row r="21" spans="2:9" ht="25.5" customHeight="1" x14ac:dyDescent="0.2">
      <c r="B21" s="17" t="s">
        <v>69</v>
      </c>
      <c r="C21" s="20"/>
      <c r="D21" s="16">
        <v>0</v>
      </c>
      <c r="E21" s="14"/>
      <c r="F21" s="31">
        <f>IF(E21="",0,MAX(1,(YEAR(E21)-YEAR(C5))*12+MONTH(E21)-MONTH(C5)+1))</f>
        <v>0</v>
      </c>
      <c r="G21" s="18">
        <v>0</v>
      </c>
      <c r="H21" s="18">
        <v>12</v>
      </c>
      <c r="I21" s="16">
        <v>5000</v>
      </c>
    </row>
    <row r="22" spans="2:9" ht="25.5" customHeight="1" x14ac:dyDescent="0.2">
      <c r="B22" s="17" t="s">
        <v>70</v>
      </c>
      <c r="C22" s="20"/>
      <c r="D22" s="16">
        <v>0</v>
      </c>
      <c r="E22" s="20"/>
      <c r="F22" s="31">
        <f>IF(E22="",0,MAX(1,(YEAR(E22)-YEAR(C5))*12+MONTH(E22)-MONTH(C5)+1))</f>
        <v>0</v>
      </c>
      <c r="G22" s="18">
        <v>0</v>
      </c>
      <c r="H22" s="18">
        <v>12</v>
      </c>
      <c r="I22" s="16">
        <v>5000</v>
      </c>
    </row>
    <row r="23" spans="2:9" ht="25.5" customHeight="1" x14ac:dyDescent="0.2">
      <c r="B23" s="17" t="s">
        <v>71</v>
      </c>
      <c r="C23" s="20"/>
      <c r="D23" s="16">
        <v>0</v>
      </c>
      <c r="E23" s="20"/>
      <c r="F23" s="31">
        <f>IF(E23="",0,MAX(1,(YEAR(E23)-YEAR(C5))*12+MONTH(E23)-MONTH(C5)+1))</f>
        <v>0</v>
      </c>
      <c r="G23" s="18">
        <v>0</v>
      </c>
      <c r="H23" s="18">
        <v>12</v>
      </c>
      <c r="I23" s="16">
        <v>5000</v>
      </c>
    </row>
    <row r="24" spans="2:9" ht="25.5" customHeight="1" x14ac:dyDescent="0.2">
      <c r="B24" s="17" t="s">
        <v>72</v>
      </c>
      <c r="C24" s="20"/>
      <c r="D24" s="16">
        <v>0</v>
      </c>
      <c r="E24" s="20"/>
      <c r="F24" s="31">
        <f>IF(E24="",0,MAX(1,(YEAR(E24)-YEAR(C5))*12+MONTH(E24)-MONTH(C5)+1))</f>
        <v>0</v>
      </c>
      <c r="G24" s="18">
        <v>0</v>
      </c>
      <c r="H24" s="18">
        <v>12</v>
      </c>
      <c r="I24" s="16">
        <v>5000</v>
      </c>
    </row>
    <row r="25" spans="2:9" ht="25.5" customHeight="1" x14ac:dyDescent="0.2">
      <c r="B25" s="17" t="s">
        <v>73</v>
      </c>
      <c r="C25" s="20"/>
      <c r="D25" s="16">
        <v>0</v>
      </c>
      <c r="E25" s="20"/>
      <c r="F25" s="31">
        <f>IF(E25="",0,MAX(1,(YEAR(E25)-YEAR(C5))*12+MONTH(E25)-MONTH(C5)+1))</f>
        <v>0</v>
      </c>
      <c r="G25" s="18">
        <v>0</v>
      </c>
      <c r="H25" s="18">
        <v>12</v>
      </c>
      <c r="I25" s="16">
        <v>5000</v>
      </c>
    </row>
    <row r="26" spans="2:9" ht="25.5" customHeight="1" x14ac:dyDescent="0.2">
      <c r="B26" s="17" t="s">
        <v>74</v>
      </c>
      <c r="C26" s="20"/>
      <c r="D26" s="16">
        <v>0</v>
      </c>
      <c r="E26" s="20"/>
      <c r="F26" s="31">
        <f>IF(E26="",0,MAX(1,(YEAR(E26)-YEAR(C5))*12+MONTH(E26)-MONTH(C5)+1))</f>
        <v>0</v>
      </c>
      <c r="G26" s="18">
        <v>0</v>
      </c>
      <c r="H26" s="18">
        <v>12</v>
      </c>
      <c r="I26" s="16">
        <v>5000</v>
      </c>
    </row>
    <row r="27" spans="2:9" ht="25.5" customHeight="1" x14ac:dyDescent="0.2">
      <c r="B27" s="17" t="s">
        <v>75</v>
      </c>
      <c r="C27" s="20"/>
      <c r="D27" s="16">
        <v>0</v>
      </c>
      <c r="E27" s="20"/>
      <c r="F27" s="31">
        <f>IF(E27="",0,MAX(1,(YEAR(E27)-YEAR(C5))*12+MONTH(E27)-MONTH(C5)+1))</f>
        <v>0</v>
      </c>
      <c r="G27" s="18">
        <v>0</v>
      </c>
      <c r="H27" s="18">
        <v>12</v>
      </c>
      <c r="I27" s="16">
        <v>5000</v>
      </c>
    </row>
    <row r="28" spans="2:9" ht="25.5" customHeight="1" x14ac:dyDescent="0.2">
      <c r="B28" s="17" t="s">
        <v>76</v>
      </c>
      <c r="C28" s="20"/>
      <c r="D28" s="16">
        <v>0</v>
      </c>
      <c r="E28" s="20"/>
      <c r="F28" s="31">
        <f>IF(E28="",0,MAX(1,(YEAR(E28)-YEAR(C5))*12+MONTH(E28)-MONTH(C5)+1))</f>
        <v>0</v>
      </c>
      <c r="G28" s="18">
        <v>0</v>
      </c>
      <c r="H28" s="18">
        <v>12</v>
      </c>
      <c r="I28" s="16">
        <v>5000</v>
      </c>
    </row>
    <row r="29" spans="2:9" ht="25.5" customHeight="1" x14ac:dyDescent="0.2">
      <c r="B29" s="17" t="s">
        <v>77</v>
      </c>
      <c r="C29" s="20"/>
      <c r="D29" s="16">
        <v>0</v>
      </c>
      <c r="E29" s="20"/>
      <c r="F29" s="31">
        <f>IF(E29="",0,MAX(1,(YEAR(E29)-YEAR(C5))*12+MONTH(E29)-MONTH(C5)+1))</f>
        <v>0</v>
      </c>
      <c r="G29" s="18">
        <v>0</v>
      </c>
      <c r="H29" s="18">
        <v>12</v>
      </c>
      <c r="I29" s="16">
        <v>5000</v>
      </c>
    </row>
    <row r="30" spans="2:9" x14ac:dyDescent="0.2">
      <c r="B30" s="110" t="s">
        <v>78</v>
      </c>
      <c r="C30" s="110"/>
      <c r="D30" s="110"/>
      <c r="E30" s="110"/>
      <c r="F30" s="110"/>
      <c r="G30" s="110"/>
      <c r="H30" s="110"/>
      <c r="I30" s="110"/>
    </row>
    <row r="32" spans="2:9" ht="25.5" customHeight="1" x14ac:dyDescent="0.2">
      <c r="B32" s="13" t="s">
        <v>79</v>
      </c>
      <c r="C32" s="32">
        <v>1.25</v>
      </c>
    </row>
    <row r="33" spans="2:6" x14ac:dyDescent="0.2">
      <c r="B33" s="110" t="s">
        <v>80</v>
      </c>
      <c r="C33" s="110"/>
      <c r="D33" s="110"/>
      <c r="E33" s="110"/>
      <c r="F33" s="110"/>
    </row>
    <row r="34" spans="2:6" x14ac:dyDescent="0.2">
      <c r="B34" s="17" t="s">
        <v>81</v>
      </c>
      <c r="C34" s="33">
        <f>D20*C32</f>
        <v>6250</v>
      </c>
    </row>
    <row r="35" spans="2:6" x14ac:dyDescent="0.2">
      <c r="B35" s="17" t="s">
        <v>82</v>
      </c>
      <c r="C35" s="33">
        <f>D21*C32</f>
        <v>0</v>
      </c>
    </row>
    <row r="37" spans="2:6" ht="25.5" customHeight="1" x14ac:dyDescent="0.2">
      <c r="B37" s="13" t="s">
        <v>83</v>
      </c>
      <c r="C37" s="34">
        <v>0.15</v>
      </c>
    </row>
    <row r="38" spans="2:6" x14ac:dyDescent="0.2">
      <c r="B38" s="110" t="s">
        <v>84</v>
      </c>
      <c r="C38" s="110"/>
      <c r="D38" s="110"/>
      <c r="E38" s="110"/>
      <c r="F38" s="110"/>
    </row>
    <row r="40" spans="2:6" x14ac:dyDescent="0.2">
      <c r="B40" s="11" t="s">
        <v>85</v>
      </c>
      <c r="C40" s="12"/>
    </row>
    <row r="41" spans="2:6" x14ac:dyDescent="0.2">
      <c r="B41" s="110" t="s">
        <v>86</v>
      </c>
      <c r="C41" s="110"/>
    </row>
    <row r="42" spans="2:6" ht="31.5" customHeight="1" x14ac:dyDescent="0.2">
      <c r="B42" s="35" t="s">
        <v>87</v>
      </c>
      <c r="C42" s="15" t="s">
        <v>88</v>
      </c>
    </row>
    <row r="43" spans="2:6" ht="25.5" customHeight="1" x14ac:dyDescent="0.2">
      <c r="B43" s="13" t="s">
        <v>89</v>
      </c>
      <c r="C43" s="36">
        <v>0</v>
      </c>
    </row>
    <row r="44" spans="2:6" ht="25.5" customHeight="1" x14ac:dyDescent="0.2">
      <c r="B44" s="13" t="s">
        <v>90</v>
      </c>
      <c r="C44" s="36">
        <v>0</v>
      </c>
    </row>
    <row r="45" spans="2:6" ht="25.5" customHeight="1" x14ac:dyDescent="0.2">
      <c r="B45" s="13" t="s">
        <v>91</v>
      </c>
      <c r="C45" s="19">
        <v>0.01</v>
      </c>
    </row>
    <row r="46" spans="2:6" ht="25.5" customHeight="1" x14ac:dyDescent="0.2">
      <c r="B46" s="13" t="s">
        <v>92</v>
      </c>
      <c r="C46" s="19">
        <v>1.4999999999999999E-2</v>
      </c>
    </row>
    <row r="47" spans="2:6" ht="25.5" customHeight="1" x14ac:dyDescent="0.2">
      <c r="B47" s="13" t="s">
        <v>93</v>
      </c>
      <c r="C47" s="19">
        <v>0.02</v>
      </c>
    </row>
    <row r="48" spans="2:6" x14ac:dyDescent="0.2">
      <c r="B48" s="110" t="s">
        <v>94</v>
      </c>
      <c r="C48" s="110"/>
    </row>
    <row r="49" spans="2:3" x14ac:dyDescent="0.2">
      <c r="B49" s="110" t="s">
        <v>95</v>
      </c>
      <c r="C49" s="110"/>
    </row>
    <row r="50" spans="2:3" x14ac:dyDescent="0.2">
      <c r="B50" s="110" t="s">
        <v>96</v>
      </c>
      <c r="C50" s="110"/>
    </row>
    <row r="52" spans="2:3" x14ac:dyDescent="0.2">
      <c r="B52" s="11" t="s">
        <v>97</v>
      </c>
      <c r="C52" s="12"/>
    </row>
    <row r="53" spans="2:3" x14ac:dyDescent="0.2">
      <c r="B53" s="35" t="s">
        <v>98</v>
      </c>
      <c r="C53" s="35" t="s">
        <v>99</v>
      </c>
    </row>
    <row r="54" spans="2:3" ht="25.5" customHeight="1" x14ac:dyDescent="0.2">
      <c r="B54" s="13" t="s">
        <v>100</v>
      </c>
      <c r="C54" s="16">
        <v>500</v>
      </c>
    </row>
    <row r="55" spans="2:3" ht="25.5" customHeight="1" x14ac:dyDescent="0.2">
      <c r="B55" s="13" t="s">
        <v>101</v>
      </c>
      <c r="C55" s="16">
        <v>3500</v>
      </c>
    </row>
    <row r="56" spans="2:3" ht="25.5" customHeight="1" x14ac:dyDescent="0.2">
      <c r="B56" s="13" t="s">
        <v>102</v>
      </c>
      <c r="C56" s="16">
        <v>1000</v>
      </c>
    </row>
    <row r="57" spans="2:3" ht="25.5" customHeight="1" x14ac:dyDescent="0.2">
      <c r="B57" s="13" t="s">
        <v>103</v>
      </c>
      <c r="C57" s="16">
        <v>0</v>
      </c>
    </row>
    <row r="58" spans="2:3" ht="25.5" customHeight="1" x14ac:dyDescent="0.2">
      <c r="B58" s="13" t="s">
        <v>104</v>
      </c>
      <c r="C58" s="16">
        <v>3000</v>
      </c>
    </row>
    <row r="59" spans="2:3" ht="25.5" customHeight="1" x14ac:dyDescent="0.2">
      <c r="B59" s="13" t="s">
        <v>105</v>
      </c>
      <c r="C59" s="16">
        <v>2000</v>
      </c>
    </row>
    <row r="60" spans="2:3" ht="25.5" customHeight="1" x14ac:dyDescent="0.2">
      <c r="B60" s="13" t="s">
        <v>106</v>
      </c>
      <c r="C60" s="16">
        <v>1500</v>
      </c>
    </row>
    <row r="61" spans="2:3" ht="25.5" customHeight="1" x14ac:dyDescent="0.2">
      <c r="B61" s="13" t="s">
        <v>107</v>
      </c>
      <c r="C61" s="16">
        <v>0</v>
      </c>
    </row>
    <row r="62" spans="2:3" ht="25.5" customHeight="1" x14ac:dyDescent="0.2">
      <c r="B62" s="13" t="s">
        <v>108</v>
      </c>
      <c r="C62" s="16">
        <v>0</v>
      </c>
    </row>
    <row r="63" spans="2:3" ht="25.5" customHeight="1" x14ac:dyDescent="0.2">
      <c r="B63" s="13" t="s">
        <v>109</v>
      </c>
      <c r="C63" s="16">
        <v>0</v>
      </c>
    </row>
    <row r="64" spans="2:3" ht="25.5" customHeight="1" x14ac:dyDescent="0.2">
      <c r="B64" s="13" t="s">
        <v>110</v>
      </c>
      <c r="C64" s="16">
        <v>0</v>
      </c>
    </row>
    <row r="65" spans="2:4" x14ac:dyDescent="0.2">
      <c r="B65" s="37" t="s">
        <v>111</v>
      </c>
      <c r="C65" s="23">
        <f>SUM(C54:C64)</f>
        <v>11500</v>
      </c>
    </row>
    <row r="67" spans="2:4" x14ac:dyDescent="0.2">
      <c r="B67" s="11" t="s">
        <v>112</v>
      </c>
      <c r="C67" s="12"/>
      <c r="D67" s="12"/>
    </row>
    <row r="68" spans="2:4" x14ac:dyDescent="0.2">
      <c r="B68" s="35" t="s">
        <v>98</v>
      </c>
      <c r="C68" s="35" t="s">
        <v>99</v>
      </c>
      <c r="D68" s="35" t="s">
        <v>113</v>
      </c>
    </row>
    <row r="69" spans="2:4" ht="25.5" customHeight="1" x14ac:dyDescent="0.2">
      <c r="B69" s="13" t="s">
        <v>114</v>
      </c>
      <c r="C69" s="16">
        <v>1000</v>
      </c>
      <c r="D69" s="20" t="s">
        <v>115</v>
      </c>
    </row>
    <row r="70" spans="2:4" ht="25.5" customHeight="1" x14ac:dyDescent="0.2">
      <c r="B70" s="13" t="s">
        <v>116</v>
      </c>
      <c r="C70" s="16">
        <v>100</v>
      </c>
      <c r="D70" s="20" t="s">
        <v>115</v>
      </c>
    </row>
    <row r="71" spans="2:4" ht="25.5" customHeight="1" x14ac:dyDescent="0.2">
      <c r="B71" s="13" t="s">
        <v>117</v>
      </c>
      <c r="C71" s="16">
        <v>250</v>
      </c>
      <c r="D71" s="20" t="s">
        <v>118</v>
      </c>
    </row>
    <row r="72" spans="2:4" ht="25.5" customHeight="1" x14ac:dyDescent="0.2">
      <c r="B72" s="13" t="s">
        <v>119</v>
      </c>
      <c r="C72" s="16">
        <v>500</v>
      </c>
      <c r="D72" s="20" t="s">
        <v>115</v>
      </c>
    </row>
    <row r="73" spans="2:4" ht="25.5" customHeight="1" x14ac:dyDescent="0.2">
      <c r="B73" s="13" t="s">
        <v>120</v>
      </c>
      <c r="C73" s="16">
        <v>100</v>
      </c>
      <c r="D73" s="20" t="s">
        <v>115</v>
      </c>
    </row>
    <row r="74" spans="2:4" ht="25.5" customHeight="1" x14ac:dyDescent="0.2">
      <c r="B74" s="13" t="s">
        <v>121</v>
      </c>
      <c r="C74" s="16">
        <v>3600</v>
      </c>
      <c r="D74" s="20" t="s">
        <v>122</v>
      </c>
    </row>
    <row r="75" spans="2:4" ht="25.5" customHeight="1" x14ac:dyDescent="0.2">
      <c r="B75" s="13" t="s">
        <v>123</v>
      </c>
      <c r="C75" s="16">
        <v>0</v>
      </c>
      <c r="D75" s="20" t="s">
        <v>115</v>
      </c>
    </row>
    <row r="76" spans="2:4" ht="25.5" customHeight="1" x14ac:dyDescent="0.2">
      <c r="B76" s="13" t="s">
        <v>124</v>
      </c>
      <c r="C76" s="16">
        <v>0</v>
      </c>
      <c r="D76" s="20" t="s">
        <v>115</v>
      </c>
    </row>
    <row r="77" spans="2:4" ht="25.5" customHeight="1" x14ac:dyDescent="0.2">
      <c r="B77" s="13" t="s">
        <v>125</v>
      </c>
      <c r="C77" s="16">
        <v>0</v>
      </c>
      <c r="D77" s="20" t="s">
        <v>115</v>
      </c>
    </row>
    <row r="78" spans="2:4" ht="25.5" customHeight="1" x14ac:dyDescent="0.2">
      <c r="B78" s="13" t="s">
        <v>126</v>
      </c>
      <c r="C78" s="16">
        <v>0</v>
      </c>
      <c r="D78" s="20" t="s">
        <v>115</v>
      </c>
    </row>
    <row r="79" spans="2:4" ht="25.5" customHeight="1" x14ac:dyDescent="0.2">
      <c r="B79" s="13" t="s">
        <v>127</v>
      </c>
      <c r="C79" s="16">
        <v>0</v>
      </c>
      <c r="D79" s="20" t="s">
        <v>115</v>
      </c>
    </row>
    <row r="80" spans="2:4" ht="25.5" customHeight="1" x14ac:dyDescent="0.2">
      <c r="B80" s="13" t="s">
        <v>128</v>
      </c>
      <c r="C80" s="16">
        <v>0</v>
      </c>
      <c r="D80" s="20" t="s">
        <v>115</v>
      </c>
    </row>
    <row r="81" spans="2:4" x14ac:dyDescent="0.2">
      <c r="B81" s="37" t="s">
        <v>129</v>
      </c>
      <c r="C81" s="23">
        <f>IF(D69="Monthly",C69,IF(D69="Annual",C69/12,0))+IF(D70="Monthly",C70,IF(D70="Annual",C70/12,0))+IF(D71="Monthly",C71,IF(D71="Annual",C71/12,0))+IF(D72="Monthly",C72,IF(D72="Annual",C72/12,0))+IF(D73="Monthly",C73,IF(D73="Annual",C73/12,0))+IF(D74="Monthly",C74,IF(D74="Annual",C74/12,0))+IF(D75="Monthly",C75,IF(D75="Annual",C75/12,0))+IF(D76="Monthly",C76,IF(D76="Annual",C76/12,0))+IF(D77="Monthly",C77,IF(D77="Annual",C77/12,0))+IF(D78="Monthly",C78,IF(D78="Annual",C78/12,0))+IF(D79="Monthly",C79,IF(D79="Annual",C79/12,0))+IF(D80="Monthly",C80,IF(D80="Annual",C80/12,0))</f>
        <v>2000</v>
      </c>
    </row>
    <row r="82" spans="2:4" x14ac:dyDescent="0.2">
      <c r="B82" s="37" t="s">
        <v>130</v>
      </c>
      <c r="C82" s="23">
        <f>IF(D69="Per Employee/Mo",C69,0)+IF(D70="Per Employee/Mo",C70,0)+IF(D71="Per Employee/Mo",C71,0)+IF(D72="Per Employee/Mo",C72,0)+IF(D73="Per Employee/Mo",C73,0)+IF(D74="Per Employee/Mo",C74,0)+IF(D75="Per Employee/Mo",C75,0)+IF(D76="Per Employee/Mo",C76,0)+IF(D77="Per Employee/Mo",C77,0)+IF(D78="Per Employee/Mo",C78,0)+IF(D79="Per Employee/Mo",C79,0)+IF(D80="Per Employee/Mo",C80,0)</f>
        <v>250</v>
      </c>
    </row>
    <row r="83" spans="2:4" x14ac:dyDescent="0.2">
      <c r="B83" s="110" t="s">
        <v>131</v>
      </c>
      <c r="C83" s="110"/>
      <c r="D83" s="110"/>
    </row>
    <row r="85" spans="2:4" x14ac:dyDescent="0.2">
      <c r="B85" s="11" t="s">
        <v>132</v>
      </c>
      <c r="C85" s="12"/>
      <c r="D85" s="12"/>
    </row>
    <row r="86" spans="2:4" ht="25.5" customHeight="1" x14ac:dyDescent="0.2">
      <c r="B86" s="13" t="s">
        <v>133</v>
      </c>
      <c r="C86" s="38">
        <v>2</v>
      </c>
    </row>
    <row r="87" spans="2:4" ht="25.5" customHeight="1" x14ac:dyDescent="0.2">
      <c r="B87" s="13" t="s">
        <v>134</v>
      </c>
      <c r="C87" s="38">
        <v>6</v>
      </c>
    </row>
    <row r="88" spans="2:4" x14ac:dyDescent="0.2">
      <c r="B88" s="110" t="s">
        <v>135</v>
      </c>
      <c r="C88" s="110"/>
      <c r="D88" s="110"/>
    </row>
  </sheetData>
  <mergeCells count="13">
    <mergeCell ref="B1:F1"/>
    <mergeCell ref="B2:F2"/>
    <mergeCell ref="B8:C8"/>
    <mergeCell ref="E13:I13"/>
    <mergeCell ref="B30:I30"/>
    <mergeCell ref="B50:C50"/>
    <mergeCell ref="B83:D83"/>
    <mergeCell ref="B88:D88"/>
    <mergeCell ref="B33:F33"/>
    <mergeCell ref="B38:F38"/>
    <mergeCell ref="B41:C41"/>
    <mergeCell ref="B48:C48"/>
    <mergeCell ref="B49:C49"/>
  </mergeCells>
  <dataValidations count="3">
    <dataValidation type="list" error="Select Yes or No" sqref="C11" xr:uid="{00000000-0002-0000-0100-000000000000}">
      <formula1>"Yes,No"</formula1>
      <formula2>0</formula2>
    </dataValidation>
    <dataValidation type="list" allowBlank="1" error="Select Sales or Service" sqref="C20:C29" xr:uid="{00000000-0002-0000-0100-000001000000}">
      <formula1>"Sales,Service"</formula1>
      <formula2>0</formula2>
    </dataValidation>
    <dataValidation type="list" error="Select frequency" sqref="D69:D80" xr:uid="{00000000-0002-0000-0100-000002000000}">
      <formula1>"Monthly,Annual,Per Employee/Mo"</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74C3C"/>
  </sheetPr>
  <dimension ref="B1:C25"/>
  <sheetViews>
    <sheetView showGridLines="0" zoomScaleNormal="100" workbookViewId="0"/>
  </sheetViews>
  <sheetFormatPr baseColWidth="10" defaultColWidth="8.6640625" defaultRowHeight="15" x14ac:dyDescent="0.2"/>
  <cols>
    <col min="1" max="1" width="3" customWidth="1"/>
    <col min="2" max="2" width="48" customWidth="1"/>
    <col min="3" max="3" width="18" customWidth="1"/>
  </cols>
  <sheetData>
    <row r="1" spans="2:3" ht="34.5" customHeight="1" x14ac:dyDescent="0.25">
      <c r="B1" s="109" t="s">
        <v>136</v>
      </c>
      <c r="C1" s="109"/>
    </row>
    <row r="2" spans="2:3" x14ac:dyDescent="0.2">
      <c r="B2" s="110" t="s">
        <v>137</v>
      </c>
      <c r="C2" s="110"/>
    </row>
    <row r="4" spans="2:3" x14ac:dyDescent="0.2">
      <c r="B4" s="11" t="s">
        <v>97</v>
      </c>
      <c r="C4" s="12"/>
    </row>
    <row r="5" spans="2:3" x14ac:dyDescent="0.2">
      <c r="B5" s="39" t="s">
        <v>100</v>
      </c>
      <c r="C5" s="40">
        <f>Assumptions!C54</f>
        <v>500</v>
      </c>
    </row>
    <row r="6" spans="2:3" x14ac:dyDescent="0.2">
      <c r="B6" s="39" t="s">
        <v>101</v>
      </c>
      <c r="C6" s="40">
        <f>Assumptions!C55</f>
        <v>3500</v>
      </c>
    </row>
    <row r="7" spans="2:3" x14ac:dyDescent="0.2">
      <c r="B7" s="39" t="s">
        <v>102</v>
      </c>
      <c r="C7" s="40">
        <f>Assumptions!C56</f>
        <v>1000</v>
      </c>
    </row>
    <row r="8" spans="2:3" x14ac:dyDescent="0.2">
      <c r="B8" s="39" t="s">
        <v>103</v>
      </c>
      <c r="C8" s="40">
        <f>Assumptions!C57</f>
        <v>0</v>
      </c>
    </row>
    <row r="9" spans="2:3" x14ac:dyDescent="0.2">
      <c r="B9" s="39" t="s">
        <v>104</v>
      </c>
      <c r="C9" s="40">
        <f>Assumptions!C58</f>
        <v>3000</v>
      </c>
    </row>
    <row r="10" spans="2:3" x14ac:dyDescent="0.2">
      <c r="B10" s="39" t="s">
        <v>105</v>
      </c>
      <c r="C10" s="40">
        <f>Assumptions!C59</f>
        <v>2000</v>
      </c>
    </row>
    <row r="11" spans="2:3" x14ac:dyDescent="0.2">
      <c r="B11" s="39" t="s">
        <v>106</v>
      </c>
      <c r="C11" s="40">
        <f>Assumptions!C60</f>
        <v>1500</v>
      </c>
    </row>
    <row r="12" spans="2:3" x14ac:dyDescent="0.2">
      <c r="B12" s="39" t="s">
        <v>107</v>
      </c>
      <c r="C12" s="40">
        <f>Assumptions!C61</f>
        <v>0</v>
      </c>
    </row>
    <row r="13" spans="2:3" x14ac:dyDescent="0.2">
      <c r="B13" s="39" t="s">
        <v>108</v>
      </c>
      <c r="C13" s="40">
        <f>Assumptions!C62</f>
        <v>0</v>
      </c>
    </row>
    <row r="14" spans="2:3" x14ac:dyDescent="0.2">
      <c r="B14" s="39" t="s">
        <v>109</v>
      </c>
      <c r="C14" s="40">
        <f>Assumptions!C63</f>
        <v>0</v>
      </c>
    </row>
    <row r="15" spans="2:3" x14ac:dyDescent="0.2">
      <c r="B15" s="39" t="s">
        <v>110</v>
      </c>
      <c r="C15" s="40">
        <f>Assumptions!C64</f>
        <v>0</v>
      </c>
    </row>
    <row r="16" spans="2:3" x14ac:dyDescent="0.2">
      <c r="B16" s="37" t="s">
        <v>138</v>
      </c>
      <c r="C16" s="23">
        <f>Assumptions!C65</f>
        <v>11500</v>
      </c>
    </row>
    <row r="18" spans="2:3" x14ac:dyDescent="0.2">
      <c r="B18" s="11" t="s">
        <v>139</v>
      </c>
      <c r="C18" s="12"/>
    </row>
    <row r="19" spans="2:3" x14ac:dyDescent="0.2">
      <c r="B19" s="39" t="s">
        <v>140</v>
      </c>
      <c r="C19" s="40">
        <f>Assumptions!C65</f>
        <v>11500</v>
      </c>
    </row>
    <row r="20" spans="2:3" x14ac:dyDescent="0.2">
      <c r="B20" s="39" t="s">
        <v>141</v>
      </c>
      <c r="C20" s="40">
        <f>IF(AND(Assumptions!F20&gt;0,Assumptions!F20&lt;=12),Assumptions!D20*Assumptions!C32*(13-Assumptions!F20),0)+IF(AND(Assumptions!F21&gt;0,Assumptions!F21&lt;=12),Assumptions!D21*Assumptions!C32*(13-Assumptions!F21),0)+IF(AND(Assumptions!F22&gt;0,Assumptions!F22&lt;=12),Assumptions!D22*Assumptions!C32*(13-Assumptions!F22),0)+IF(AND(Assumptions!F23&gt;0,Assumptions!F23&lt;=12),Assumptions!D23*Assumptions!C32*(13-Assumptions!F23),0)+IF(AND(Assumptions!F24&gt;0,Assumptions!F24&lt;=12),Assumptions!D24*Assumptions!C32*(13-Assumptions!F24),0)+IF(AND(Assumptions!F25&gt;0,Assumptions!F25&lt;=12),Assumptions!D25*Assumptions!C32*(13-Assumptions!F25),0)+IF(AND(Assumptions!F26&gt;0,Assumptions!F26&lt;=12),Assumptions!D26*Assumptions!C32*(13-Assumptions!F26),0)+IF(AND(Assumptions!F27&gt;0,Assumptions!F27&lt;=12),Assumptions!D27*Assumptions!C32*(13-Assumptions!F27),0)+IF(AND(Assumptions!F28&gt;0,Assumptions!F28&lt;=12),Assumptions!D28*Assumptions!C32*(13-Assumptions!F28),0)+IF(AND(Assumptions!F29&gt;0,Assumptions!F29&lt;=12),Assumptions!D29*Assumptions!C32*(13-Assumptions!F29),0)</f>
        <v>62500</v>
      </c>
    </row>
    <row r="21" spans="2:3" x14ac:dyDescent="0.2">
      <c r="B21" s="39" t="s">
        <v>142</v>
      </c>
      <c r="C21" s="40">
        <f>Assumptions!C81*12</f>
        <v>24000</v>
      </c>
    </row>
    <row r="22" spans="2:3" x14ac:dyDescent="0.2">
      <c r="B22" s="41" t="s">
        <v>143</v>
      </c>
      <c r="C22" s="42">
        <f>SUM(C19:C21)</f>
        <v>98000</v>
      </c>
    </row>
    <row r="24" spans="2:3" x14ac:dyDescent="0.2">
      <c r="B24" s="39" t="s">
        <v>144</v>
      </c>
      <c r="C24" s="40">
        <f>Assumptions!C6</f>
        <v>65000</v>
      </c>
    </row>
    <row r="25" spans="2:3" x14ac:dyDescent="0.2">
      <c r="B25" s="17" t="s">
        <v>145</v>
      </c>
      <c r="C25" s="43">
        <f>C24-C22</f>
        <v>-33000</v>
      </c>
    </row>
  </sheetData>
  <mergeCells count="2">
    <mergeCell ref="B1:C1"/>
    <mergeCell ref="B2:C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7AE60"/>
  </sheetPr>
  <dimension ref="B1:BO49"/>
  <sheetViews>
    <sheetView showGridLines="0" zoomScaleNormal="100" workbookViewId="0">
      <pane xSplit="2" ySplit="4" topLeftCell="C5" activePane="bottomRight" state="frozen"/>
      <selection pane="topRight" activeCell="C1" sqref="C1"/>
      <selection pane="bottomLeft" activeCell="A5" sqref="A5"/>
      <selection pane="bottomRight"/>
    </sheetView>
  </sheetViews>
  <sheetFormatPr baseColWidth="10" defaultColWidth="8.6640625" defaultRowHeight="15" x14ac:dyDescent="0.2"/>
  <cols>
    <col min="1" max="1" width="3" customWidth="1"/>
    <col min="2" max="2" width="38" customWidth="1"/>
    <col min="3" max="14" width="11" customWidth="1"/>
    <col min="15" max="15" width="14" customWidth="1"/>
    <col min="16" max="27" width="11" customWidth="1"/>
    <col min="28" max="28" width="14" customWidth="1"/>
    <col min="29" max="40" width="11" customWidth="1"/>
    <col min="41" max="41" width="14" customWidth="1"/>
    <col min="42" max="53" width="11" customWidth="1"/>
    <col min="54" max="54" width="14" customWidth="1"/>
    <col min="55" max="66" width="11" customWidth="1"/>
    <col min="67" max="67" width="14" customWidth="1"/>
  </cols>
  <sheetData>
    <row r="1" spans="2:67" ht="30" customHeight="1" x14ac:dyDescent="0.25">
      <c r="B1" s="109" t="s">
        <v>146</v>
      </c>
      <c r="C1" s="109"/>
      <c r="D1" s="109"/>
      <c r="E1" s="109"/>
      <c r="F1" s="109"/>
      <c r="G1" s="109"/>
      <c r="H1" s="109"/>
    </row>
    <row r="2" spans="2:67" x14ac:dyDescent="0.2">
      <c r="B2" s="110" t="s">
        <v>147</v>
      </c>
      <c r="C2" s="110"/>
      <c r="D2" s="110"/>
      <c r="E2" s="110"/>
      <c r="F2" s="110"/>
      <c r="G2" s="110"/>
      <c r="H2" s="110"/>
    </row>
    <row r="3" spans="2:67" x14ac:dyDescent="0.2">
      <c r="B3" s="44"/>
      <c r="C3" s="108" t="s">
        <v>148</v>
      </c>
      <c r="D3" s="108"/>
      <c r="E3" s="108"/>
      <c r="F3" s="108"/>
      <c r="G3" s="108"/>
      <c r="H3" s="108"/>
      <c r="I3" s="108"/>
      <c r="J3" s="108"/>
      <c r="K3" s="108"/>
      <c r="L3" s="108"/>
      <c r="M3" s="108"/>
      <c r="N3" s="108"/>
      <c r="O3" s="108"/>
      <c r="P3" s="107" t="s">
        <v>149</v>
      </c>
      <c r="Q3" s="107"/>
      <c r="R3" s="107"/>
      <c r="S3" s="107"/>
      <c r="T3" s="107"/>
      <c r="U3" s="107"/>
      <c r="V3" s="107"/>
      <c r="W3" s="107"/>
      <c r="X3" s="107"/>
      <c r="Y3" s="107"/>
      <c r="Z3" s="107"/>
      <c r="AA3" s="107"/>
      <c r="AB3" s="107"/>
      <c r="AC3" s="108" t="s">
        <v>150</v>
      </c>
      <c r="AD3" s="108"/>
      <c r="AE3" s="108"/>
      <c r="AF3" s="108"/>
      <c r="AG3" s="108"/>
      <c r="AH3" s="108"/>
      <c r="AI3" s="108"/>
      <c r="AJ3" s="108"/>
      <c r="AK3" s="108"/>
      <c r="AL3" s="108"/>
      <c r="AM3" s="108"/>
      <c r="AN3" s="108"/>
      <c r="AO3" s="108"/>
      <c r="AP3" s="107" t="s">
        <v>151</v>
      </c>
      <c r="AQ3" s="107"/>
      <c r="AR3" s="107"/>
      <c r="AS3" s="107"/>
      <c r="AT3" s="107"/>
      <c r="AU3" s="107"/>
      <c r="AV3" s="107"/>
      <c r="AW3" s="107"/>
      <c r="AX3" s="107"/>
      <c r="AY3" s="107"/>
      <c r="AZ3" s="107"/>
      <c r="BA3" s="107"/>
      <c r="BB3" s="107"/>
      <c r="BC3" s="108" t="s">
        <v>152</v>
      </c>
      <c r="BD3" s="108"/>
      <c r="BE3" s="108"/>
      <c r="BF3" s="108"/>
      <c r="BG3" s="108"/>
      <c r="BH3" s="108"/>
      <c r="BI3" s="108"/>
      <c r="BJ3" s="108"/>
      <c r="BK3" s="108"/>
      <c r="BL3" s="108"/>
      <c r="BM3" s="108"/>
      <c r="BN3" s="108"/>
      <c r="BO3" s="108"/>
    </row>
    <row r="4" spans="2:67" ht="27.75" customHeight="1" x14ac:dyDescent="0.2">
      <c r="B4" s="44"/>
      <c r="C4" s="45" t="s">
        <v>153</v>
      </c>
      <c r="D4" s="45" t="s">
        <v>154</v>
      </c>
      <c r="E4" s="45" t="s">
        <v>155</v>
      </c>
      <c r="F4" s="45" t="s">
        <v>156</v>
      </c>
      <c r="G4" s="45" t="s">
        <v>157</v>
      </c>
      <c r="H4" s="45" t="s">
        <v>158</v>
      </c>
      <c r="I4" s="45" t="s">
        <v>159</v>
      </c>
      <c r="J4" s="45" t="s">
        <v>160</v>
      </c>
      <c r="K4" s="45" t="s">
        <v>161</v>
      </c>
      <c r="L4" s="45" t="s">
        <v>162</v>
      </c>
      <c r="M4" s="45" t="s">
        <v>163</v>
      </c>
      <c r="N4" s="45" t="s">
        <v>164</v>
      </c>
      <c r="O4" s="46" t="s">
        <v>165</v>
      </c>
      <c r="P4" s="45" t="s">
        <v>166</v>
      </c>
      <c r="Q4" s="45" t="s">
        <v>167</v>
      </c>
      <c r="R4" s="45" t="s">
        <v>168</v>
      </c>
      <c r="S4" s="45" t="s">
        <v>169</v>
      </c>
      <c r="T4" s="45" t="s">
        <v>170</v>
      </c>
      <c r="U4" s="45" t="s">
        <v>171</v>
      </c>
      <c r="V4" s="45" t="s">
        <v>172</v>
      </c>
      <c r="W4" s="45" t="s">
        <v>173</v>
      </c>
      <c r="X4" s="45" t="s">
        <v>174</v>
      </c>
      <c r="Y4" s="45" t="s">
        <v>175</v>
      </c>
      <c r="Z4" s="45" t="s">
        <v>176</v>
      </c>
      <c r="AA4" s="45" t="s">
        <v>177</v>
      </c>
      <c r="AB4" s="46" t="s">
        <v>178</v>
      </c>
      <c r="AC4" s="45" t="s">
        <v>179</v>
      </c>
      <c r="AD4" s="45" t="s">
        <v>180</v>
      </c>
      <c r="AE4" s="45" t="s">
        <v>181</v>
      </c>
      <c r="AF4" s="45" t="s">
        <v>182</v>
      </c>
      <c r="AG4" s="45" t="s">
        <v>183</v>
      </c>
      <c r="AH4" s="45" t="s">
        <v>184</v>
      </c>
      <c r="AI4" s="45" t="s">
        <v>185</v>
      </c>
      <c r="AJ4" s="45" t="s">
        <v>186</v>
      </c>
      <c r="AK4" s="45" t="s">
        <v>187</v>
      </c>
      <c r="AL4" s="45" t="s">
        <v>188</v>
      </c>
      <c r="AM4" s="45" t="s">
        <v>189</v>
      </c>
      <c r="AN4" s="45" t="s">
        <v>190</v>
      </c>
      <c r="AO4" s="46" t="s">
        <v>191</v>
      </c>
      <c r="AP4" s="45" t="s">
        <v>192</v>
      </c>
      <c r="AQ4" s="45" t="s">
        <v>193</v>
      </c>
      <c r="AR4" s="45" t="s">
        <v>194</v>
      </c>
      <c r="AS4" s="45" t="s">
        <v>195</v>
      </c>
      <c r="AT4" s="45" t="s">
        <v>196</v>
      </c>
      <c r="AU4" s="45" t="s">
        <v>197</v>
      </c>
      <c r="AV4" s="45" t="s">
        <v>198</v>
      </c>
      <c r="AW4" s="45" t="s">
        <v>199</v>
      </c>
      <c r="AX4" s="45" t="s">
        <v>200</v>
      </c>
      <c r="AY4" s="45" t="s">
        <v>201</v>
      </c>
      <c r="AZ4" s="45" t="s">
        <v>202</v>
      </c>
      <c r="BA4" s="45" t="s">
        <v>203</v>
      </c>
      <c r="BB4" s="46" t="s">
        <v>204</v>
      </c>
      <c r="BC4" s="45" t="s">
        <v>205</v>
      </c>
      <c r="BD4" s="45" t="s">
        <v>206</v>
      </c>
      <c r="BE4" s="45" t="s">
        <v>207</v>
      </c>
      <c r="BF4" s="45" t="s">
        <v>208</v>
      </c>
      <c r="BG4" s="45" t="s">
        <v>209</v>
      </c>
      <c r="BH4" s="45" t="s">
        <v>210</v>
      </c>
      <c r="BI4" s="45" t="s">
        <v>211</v>
      </c>
      <c r="BJ4" s="45" t="s">
        <v>212</v>
      </c>
      <c r="BK4" s="45" t="s">
        <v>213</v>
      </c>
      <c r="BL4" s="45" t="s">
        <v>214</v>
      </c>
      <c r="BM4" s="45" t="s">
        <v>215</v>
      </c>
      <c r="BN4" s="45" t="s">
        <v>216</v>
      </c>
      <c r="BO4" s="46" t="s">
        <v>217</v>
      </c>
    </row>
    <row r="5" spans="2:67" x14ac:dyDescent="0.2">
      <c r="B5" s="11" t="s">
        <v>218</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row>
    <row r="6" spans="2:67" x14ac:dyDescent="0.2">
      <c r="B6" s="47" t="s">
        <v>219</v>
      </c>
      <c r="C6" s="48">
        <f>IF(AND(Assumptions!C20="Sales",Assumptions!F20&lt;=1,Assumptions!F20&gt;0),Assumptions!G20*MIN(1,(1-Assumptions!F20+1)/MAX(Assumptions!H20,1)),0)+IF(AND(Assumptions!C21="Sales",Assumptions!F21&lt;=1,Assumptions!F21&gt;0),Assumptions!G21*MIN(1,(1-Assumptions!F21+1)/MAX(Assumptions!H21,1)),0)+IF(AND(Assumptions!C22="Sales",Assumptions!F22&lt;=1,Assumptions!F22&gt;0),Assumptions!G22*MIN(1,(1-Assumptions!F22+1)/MAX(Assumptions!H22,1)),0)+IF(AND(Assumptions!C23="Sales",Assumptions!F23&lt;=1,Assumptions!F23&gt;0),Assumptions!G23*MIN(1,(1-Assumptions!F23+1)/MAX(Assumptions!H23,1)),0)+IF(AND(Assumptions!C24="Sales",Assumptions!F24&lt;=1,Assumptions!F24&gt;0),Assumptions!G24*MIN(1,(1-Assumptions!F24+1)/MAX(Assumptions!H24,1)),0)+IF(AND(Assumptions!C25="Sales",Assumptions!F25&lt;=1,Assumptions!F25&gt;0),Assumptions!G25*MIN(1,(1-Assumptions!F25+1)/MAX(Assumptions!H25,1)),0)+IF(AND(Assumptions!C26="Sales",Assumptions!F26&lt;=1,Assumptions!F26&gt;0),Assumptions!G26*MIN(1,(1-Assumptions!F26+1)/MAX(Assumptions!H26,1)),0)+IF(AND(Assumptions!C27="Sales",Assumptions!F27&lt;=1,Assumptions!F27&gt;0),Assumptions!G27*MIN(1,(1-Assumptions!F27+1)/MAX(Assumptions!H27,1)),0)+IF(AND(Assumptions!C28="Sales",Assumptions!F28&lt;=1,Assumptions!F28&gt;0),Assumptions!G28*MIN(1,(1-Assumptions!F28+1)/MAX(Assumptions!H28,1)),0)+IF(AND(Assumptions!C29="Sales",Assumptions!F29&lt;=1,Assumptions!F29&gt;0),Assumptions!G29*MIN(1,(1-Assumptions!F29+1)/MAX(Assumptions!H29,1)),0)</f>
        <v>0</v>
      </c>
      <c r="D6" s="49">
        <f>IF(AND(Assumptions!C20="Sales",Assumptions!F20&lt;=2,Assumptions!F20&gt;0),Assumptions!G20*MIN(1,(2-Assumptions!F20+1)/MAX(Assumptions!H20,1)),0)+IF(AND(Assumptions!C21="Sales",Assumptions!F21&lt;=2,Assumptions!F21&gt;0),Assumptions!G21*MIN(1,(2-Assumptions!F21+1)/MAX(Assumptions!H21,1)),0)+IF(AND(Assumptions!C22="Sales",Assumptions!F22&lt;=2,Assumptions!F22&gt;0),Assumptions!G22*MIN(1,(2-Assumptions!F22+1)/MAX(Assumptions!H22,1)),0)+IF(AND(Assumptions!C23="Sales",Assumptions!F23&lt;=2,Assumptions!F23&gt;0),Assumptions!G23*MIN(1,(2-Assumptions!F23+1)/MAX(Assumptions!H23,1)),0)+IF(AND(Assumptions!C24="Sales",Assumptions!F24&lt;=2,Assumptions!F24&gt;0),Assumptions!G24*MIN(1,(2-Assumptions!F24+1)/MAX(Assumptions!H24,1)),0)+IF(AND(Assumptions!C25="Sales",Assumptions!F25&lt;=2,Assumptions!F25&gt;0),Assumptions!G25*MIN(1,(2-Assumptions!F25+1)/MAX(Assumptions!H25,1)),0)+IF(AND(Assumptions!C26="Sales",Assumptions!F26&lt;=2,Assumptions!F26&gt;0),Assumptions!G26*MIN(1,(2-Assumptions!F26+1)/MAX(Assumptions!H26,1)),0)+IF(AND(Assumptions!C27="Sales",Assumptions!F27&lt;=2,Assumptions!F27&gt;0),Assumptions!G27*MIN(1,(2-Assumptions!F27+1)/MAX(Assumptions!H27,1)),0)+IF(AND(Assumptions!C28="Sales",Assumptions!F28&lt;=2,Assumptions!F28&gt;0),Assumptions!G28*MIN(1,(2-Assumptions!F28+1)/MAX(Assumptions!H28,1)),0)+IF(AND(Assumptions!C29="Sales",Assumptions!F29&lt;=2,Assumptions!F29&gt;0),Assumptions!G29*MIN(1,(2-Assumptions!F29+1)/MAX(Assumptions!H29,1)),0)</f>
        <v>0</v>
      </c>
      <c r="E6" s="48">
        <f>IF(AND(Assumptions!C20="Sales",Assumptions!F20&lt;=3,Assumptions!F20&gt;0),Assumptions!G20*MIN(1,(3-Assumptions!F20+1)/MAX(Assumptions!H20,1)),0)+IF(AND(Assumptions!C21="Sales",Assumptions!F21&lt;=3,Assumptions!F21&gt;0),Assumptions!G21*MIN(1,(3-Assumptions!F21+1)/MAX(Assumptions!H21,1)),0)+IF(AND(Assumptions!C22="Sales",Assumptions!F22&lt;=3,Assumptions!F22&gt;0),Assumptions!G22*MIN(1,(3-Assumptions!F22+1)/MAX(Assumptions!H22,1)),0)+IF(AND(Assumptions!C23="Sales",Assumptions!F23&lt;=3,Assumptions!F23&gt;0),Assumptions!G23*MIN(1,(3-Assumptions!F23+1)/MAX(Assumptions!H23,1)),0)+IF(AND(Assumptions!C24="Sales",Assumptions!F24&lt;=3,Assumptions!F24&gt;0),Assumptions!G24*MIN(1,(3-Assumptions!F24+1)/MAX(Assumptions!H24,1)),0)+IF(AND(Assumptions!C25="Sales",Assumptions!F25&lt;=3,Assumptions!F25&gt;0),Assumptions!G25*MIN(1,(3-Assumptions!F25+1)/MAX(Assumptions!H25,1)),0)+IF(AND(Assumptions!C26="Sales",Assumptions!F26&lt;=3,Assumptions!F26&gt;0),Assumptions!G26*MIN(1,(3-Assumptions!F26+1)/MAX(Assumptions!H26,1)),0)+IF(AND(Assumptions!C27="Sales",Assumptions!F27&lt;=3,Assumptions!F27&gt;0),Assumptions!G27*MIN(1,(3-Assumptions!F27+1)/MAX(Assumptions!H27,1)),0)+IF(AND(Assumptions!C28="Sales",Assumptions!F28&lt;=3,Assumptions!F28&gt;0),Assumptions!G28*MIN(1,(3-Assumptions!F28+1)/MAX(Assumptions!H28,1)),0)+IF(AND(Assumptions!C29="Sales",Assumptions!F29&lt;=3,Assumptions!F29&gt;0),Assumptions!G29*MIN(1,(3-Assumptions!F29+1)/MAX(Assumptions!H29,1)),0)</f>
        <v>4.1666666666666661</v>
      </c>
      <c r="F6" s="49">
        <f>IF(AND(Assumptions!C20="Sales",Assumptions!F20&lt;=4,Assumptions!F20&gt;0),Assumptions!G20*MIN(1,(4-Assumptions!F20+1)/MAX(Assumptions!H20,1)),0)+IF(AND(Assumptions!C21="Sales",Assumptions!F21&lt;=4,Assumptions!F21&gt;0),Assumptions!G21*MIN(1,(4-Assumptions!F21+1)/MAX(Assumptions!H21,1)),0)+IF(AND(Assumptions!C22="Sales",Assumptions!F22&lt;=4,Assumptions!F22&gt;0),Assumptions!G22*MIN(1,(4-Assumptions!F22+1)/MAX(Assumptions!H22,1)),0)+IF(AND(Assumptions!C23="Sales",Assumptions!F23&lt;=4,Assumptions!F23&gt;0),Assumptions!G23*MIN(1,(4-Assumptions!F23+1)/MAX(Assumptions!H23,1)),0)+IF(AND(Assumptions!C24="Sales",Assumptions!F24&lt;=4,Assumptions!F24&gt;0),Assumptions!G24*MIN(1,(4-Assumptions!F24+1)/MAX(Assumptions!H24,1)),0)+IF(AND(Assumptions!C25="Sales",Assumptions!F25&lt;=4,Assumptions!F25&gt;0),Assumptions!G25*MIN(1,(4-Assumptions!F25+1)/MAX(Assumptions!H25,1)),0)+IF(AND(Assumptions!C26="Sales",Assumptions!F26&lt;=4,Assumptions!F26&gt;0),Assumptions!G26*MIN(1,(4-Assumptions!F26+1)/MAX(Assumptions!H26,1)),0)+IF(AND(Assumptions!C27="Sales",Assumptions!F27&lt;=4,Assumptions!F27&gt;0),Assumptions!G27*MIN(1,(4-Assumptions!F27+1)/MAX(Assumptions!H27,1)),0)+IF(AND(Assumptions!C28="Sales",Assumptions!F28&lt;=4,Assumptions!F28&gt;0),Assumptions!G28*MIN(1,(4-Assumptions!F28+1)/MAX(Assumptions!H28,1)),0)+IF(AND(Assumptions!C29="Sales",Assumptions!F29&lt;=4,Assumptions!F29&gt;0),Assumptions!G29*MIN(1,(4-Assumptions!F29+1)/MAX(Assumptions!H29,1)),0)</f>
        <v>8.3333333333333321</v>
      </c>
      <c r="G6" s="48">
        <f>IF(AND(Assumptions!C20="Sales",Assumptions!F20&lt;=5,Assumptions!F20&gt;0),Assumptions!G20*MIN(1,(5-Assumptions!F20+1)/MAX(Assumptions!H20,1)),0)+IF(AND(Assumptions!C21="Sales",Assumptions!F21&lt;=5,Assumptions!F21&gt;0),Assumptions!G21*MIN(1,(5-Assumptions!F21+1)/MAX(Assumptions!H21,1)),0)+IF(AND(Assumptions!C22="Sales",Assumptions!F22&lt;=5,Assumptions!F22&gt;0),Assumptions!G22*MIN(1,(5-Assumptions!F22+1)/MAX(Assumptions!H22,1)),0)+IF(AND(Assumptions!C23="Sales",Assumptions!F23&lt;=5,Assumptions!F23&gt;0),Assumptions!G23*MIN(1,(5-Assumptions!F23+1)/MAX(Assumptions!H23,1)),0)+IF(AND(Assumptions!C24="Sales",Assumptions!F24&lt;=5,Assumptions!F24&gt;0),Assumptions!G24*MIN(1,(5-Assumptions!F24+1)/MAX(Assumptions!H24,1)),0)+IF(AND(Assumptions!C25="Sales",Assumptions!F25&lt;=5,Assumptions!F25&gt;0),Assumptions!G25*MIN(1,(5-Assumptions!F25+1)/MAX(Assumptions!H25,1)),0)+IF(AND(Assumptions!C26="Sales",Assumptions!F26&lt;=5,Assumptions!F26&gt;0),Assumptions!G26*MIN(1,(5-Assumptions!F26+1)/MAX(Assumptions!H26,1)),0)+IF(AND(Assumptions!C27="Sales",Assumptions!F27&lt;=5,Assumptions!F27&gt;0),Assumptions!G27*MIN(1,(5-Assumptions!F27+1)/MAX(Assumptions!H27,1)),0)+IF(AND(Assumptions!C28="Sales",Assumptions!F28&lt;=5,Assumptions!F28&gt;0),Assumptions!G28*MIN(1,(5-Assumptions!F28+1)/MAX(Assumptions!H28,1)),0)+IF(AND(Assumptions!C29="Sales",Assumptions!F29&lt;=5,Assumptions!F29&gt;0),Assumptions!G29*MIN(1,(5-Assumptions!F29+1)/MAX(Assumptions!H29,1)),0)</f>
        <v>12.5</v>
      </c>
      <c r="H6" s="49">
        <f>IF(AND(Assumptions!C20="Sales",Assumptions!F20&lt;=6,Assumptions!F20&gt;0),Assumptions!G20*MIN(1,(6-Assumptions!F20+1)/MAX(Assumptions!H20,1)),0)+IF(AND(Assumptions!C21="Sales",Assumptions!F21&lt;=6,Assumptions!F21&gt;0),Assumptions!G21*MIN(1,(6-Assumptions!F21+1)/MAX(Assumptions!H21,1)),0)+IF(AND(Assumptions!C22="Sales",Assumptions!F22&lt;=6,Assumptions!F22&gt;0),Assumptions!G22*MIN(1,(6-Assumptions!F22+1)/MAX(Assumptions!H22,1)),0)+IF(AND(Assumptions!C23="Sales",Assumptions!F23&lt;=6,Assumptions!F23&gt;0),Assumptions!G23*MIN(1,(6-Assumptions!F23+1)/MAX(Assumptions!H23,1)),0)+IF(AND(Assumptions!C24="Sales",Assumptions!F24&lt;=6,Assumptions!F24&gt;0),Assumptions!G24*MIN(1,(6-Assumptions!F24+1)/MAX(Assumptions!H24,1)),0)+IF(AND(Assumptions!C25="Sales",Assumptions!F25&lt;=6,Assumptions!F25&gt;0),Assumptions!G25*MIN(1,(6-Assumptions!F25+1)/MAX(Assumptions!H25,1)),0)+IF(AND(Assumptions!C26="Sales",Assumptions!F26&lt;=6,Assumptions!F26&gt;0),Assumptions!G26*MIN(1,(6-Assumptions!F26+1)/MAX(Assumptions!H26,1)),0)+IF(AND(Assumptions!C27="Sales",Assumptions!F27&lt;=6,Assumptions!F27&gt;0),Assumptions!G27*MIN(1,(6-Assumptions!F27+1)/MAX(Assumptions!H27,1)),0)+IF(AND(Assumptions!C28="Sales",Assumptions!F28&lt;=6,Assumptions!F28&gt;0),Assumptions!G28*MIN(1,(6-Assumptions!F28+1)/MAX(Assumptions!H28,1)),0)+IF(AND(Assumptions!C29="Sales",Assumptions!F29&lt;=6,Assumptions!F29&gt;0),Assumptions!G29*MIN(1,(6-Assumptions!F29+1)/MAX(Assumptions!H29,1)),0)</f>
        <v>16.666666666666664</v>
      </c>
      <c r="I6" s="48">
        <f>IF(AND(Assumptions!C20="Sales",Assumptions!F20&lt;=7,Assumptions!F20&gt;0),Assumptions!G20*MIN(1,(7-Assumptions!F20+1)/MAX(Assumptions!H20,1)),0)+IF(AND(Assumptions!C21="Sales",Assumptions!F21&lt;=7,Assumptions!F21&gt;0),Assumptions!G21*MIN(1,(7-Assumptions!F21+1)/MAX(Assumptions!H21,1)),0)+IF(AND(Assumptions!C22="Sales",Assumptions!F22&lt;=7,Assumptions!F22&gt;0),Assumptions!G22*MIN(1,(7-Assumptions!F22+1)/MAX(Assumptions!H22,1)),0)+IF(AND(Assumptions!C23="Sales",Assumptions!F23&lt;=7,Assumptions!F23&gt;0),Assumptions!G23*MIN(1,(7-Assumptions!F23+1)/MAX(Assumptions!H23,1)),0)+IF(AND(Assumptions!C24="Sales",Assumptions!F24&lt;=7,Assumptions!F24&gt;0),Assumptions!G24*MIN(1,(7-Assumptions!F24+1)/MAX(Assumptions!H24,1)),0)+IF(AND(Assumptions!C25="Sales",Assumptions!F25&lt;=7,Assumptions!F25&gt;0),Assumptions!G25*MIN(1,(7-Assumptions!F25+1)/MAX(Assumptions!H25,1)),0)+IF(AND(Assumptions!C26="Sales",Assumptions!F26&lt;=7,Assumptions!F26&gt;0),Assumptions!G26*MIN(1,(7-Assumptions!F26+1)/MAX(Assumptions!H26,1)),0)+IF(AND(Assumptions!C27="Sales",Assumptions!F27&lt;=7,Assumptions!F27&gt;0),Assumptions!G27*MIN(1,(7-Assumptions!F27+1)/MAX(Assumptions!H27,1)),0)+IF(AND(Assumptions!C28="Sales",Assumptions!F28&lt;=7,Assumptions!F28&gt;0),Assumptions!G28*MIN(1,(7-Assumptions!F28+1)/MAX(Assumptions!H28,1)),0)+IF(AND(Assumptions!C29="Sales",Assumptions!F29&lt;=7,Assumptions!F29&gt;0),Assumptions!G29*MIN(1,(7-Assumptions!F29+1)/MAX(Assumptions!H29,1)),0)</f>
        <v>20.833333333333336</v>
      </c>
      <c r="J6" s="49">
        <f>IF(AND(Assumptions!C20="Sales",Assumptions!F20&lt;=8,Assumptions!F20&gt;0),Assumptions!G20*MIN(1,(8-Assumptions!F20+1)/MAX(Assumptions!H20,1)),0)+IF(AND(Assumptions!C21="Sales",Assumptions!F21&lt;=8,Assumptions!F21&gt;0),Assumptions!G21*MIN(1,(8-Assumptions!F21+1)/MAX(Assumptions!H21,1)),0)+IF(AND(Assumptions!C22="Sales",Assumptions!F22&lt;=8,Assumptions!F22&gt;0),Assumptions!G22*MIN(1,(8-Assumptions!F22+1)/MAX(Assumptions!H22,1)),0)+IF(AND(Assumptions!C23="Sales",Assumptions!F23&lt;=8,Assumptions!F23&gt;0),Assumptions!G23*MIN(1,(8-Assumptions!F23+1)/MAX(Assumptions!H23,1)),0)+IF(AND(Assumptions!C24="Sales",Assumptions!F24&lt;=8,Assumptions!F24&gt;0),Assumptions!G24*MIN(1,(8-Assumptions!F24+1)/MAX(Assumptions!H24,1)),0)+IF(AND(Assumptions!C25="Sales",Assumptions!F25&lt;=8,Assumptions!F25&gt;0),Assumptions!G25*MIN(1,(8-Assumptions!F25+1)/MAX(Assumptions!H25,1)),0)+IF(AND(Assumptions!C26="Sales",Assumptions!F26&lt;=8,Assumptions!F26&gt;0),Assumptions!G26*MIN(1,(8-Assumptions!F26+1)/MAX(Assumptions!H26,1)),0)+IF(AND(Assumptions!C27="Sales",Assumptions!F27&lt;=8,Assumptions!F27&gt;0),Assumptions!G27*MIN(1,(8-Assumptions!F27+1)/MAX(Assumptions!H27,1)),0)+IF(AND(Assumptions!C28="Sales",Assumptions!F28&lt;=8,Assumptions!F28&gt;0),Assumptions!G28*MIN(1,(8-Assumptions!F28+1)/MAX(Assumptions!H28,1)),0)+IF(AND(Assumptions!C29="Sales",Assumptions!F29&lt;=8,Assumptions!F29&gt;0),Assumptions!G29*MIN(1,(8-Assumptions!F29+1)/MAX(Assumptions!H29,1)),0)</f>
        <v>25</v>
      </c>
      <c r="K6" s="48">
        <f>IF(AND(Assumptions!C20="Sales",Assumptions!F20&lt;=9,Assumptions!F20&gt;0),Assumptions!G20*MIN(1,(9-Assumptions!F20+1)/MAX(Assumptions!H20,1)),0)+IF(AND(Assumptions!C21="Sales",Assumptions!F21&lt;=9,Assumptions!F21&gt;0),Assumptions!G21*MIN(1,(9-Assumptions!F21+1)/MAX(Assumptions!H21,1)),0)+IF(AND(Assumptions!C22="Sales",Assumptions!F22&lt;=9,Assumptions!F22&gt;0),Assumptions!G22*MIN(1,(9-Assumptions!F22+1)/MAX(Assumptions!H22,1)),0)+IF(AND(Assumptions!C23="Sales",Assumptions!F23&lt;=9,Assumptions!F23&gt;0),Assumptions!G23*MIN(1,(9-Assumptions!F23+1)/MAX(Assumptions!H23,1)),0)+IF(AND(Assumptions!C24="Sales",Assumptions!F24&lt;=9,Assumptions!F24&gt;0),Assumptions!G24*MIN(1,(9-Assumptions!F24+1)/MAX(Assumptions!H24,1)),0)+IF(AND(Assumptions!C25="Sales",Assumptions!F25&lt;=9,Assumptions!F25&gt;0),Assumptions!G25*MIN(1,(9-Assumptions!F25+1)/MAX(Assumptions!H25,1)),0)+IF(AND(Assumptions!C26="Sales",Assumptions!F26&lt;=9,Assumptions!F26&gt;0),Assumptions!G26*MIN(1,(9-Assumptions!F26+1)/MAX(Assumptions!H26,1)),0)+IF(AND(Assumptions!C27="Sales",Assumptions!F27&lt;=9,Assumptions!F27&gt;0),Assumptions!G27*MIN(1,(9-Assumptions!F27+1)/MAX(Assumptions!H27,1)),0)+IF(AND(Assumptions!C28="Sales",Assumptions!F28&lt;=9,Assumptions!F28&gt;0),Assumptions!G28*MIN(1,(9-Assumptions!F28+1)/MAX(Assumptions!H28,1)),0)+IF(AND(Assumptions!C29="Sales",Assumptions!F29&lt;=9,Assumptions!F29&gt;0),Assumptions!G29*MIN(1,(9-Assumptions!F29+1)/MAX(Assumptions!H29,1)),0)</f>
        <v>25</v>
      </c>
      <c r="L6" s="49">
        <f>IF(AND(Assumptions!C20="Sales",Assumptions!F20&lt;=10,Assumptions!F20&gt;0),Assumptions!G20*MIN(1,(10-Assumptions!F20+1)/MAX(Assumptions!H20,1)),0)+IF(AND(Assumptions!C21="Sales",Assumptions!F21&lt;=10,Assumptions!F21&gt;0),Assumptions!G21*MIN(1,(10-Assumptions!F21+1)/MAX(Assumptions!H21,1)),0)+IF(AND(Assumptions!C22="Sales",Assumptions!F22&lt;=10,Assumptions!F22&gt;0),Assumptions!G22*MIN(1,(10-Assumptions!F22+1)/MAX(Assumptions!H22,1)),0)+IF(AND(Assumptions!C23="Sales",Assumptions!F23&lt;=10,Assumptions!F23&gt;0),Assumptions!G23*MIN(1,(10-Assumptions!F23+1)/MAX(Assumptions!H23,1)),0)+IF(AND(Assumptions!C24="Sales",Assumptions!F24&lt;=10,Assumptions!F24&gt;0),Assumptions!G24*MIN(1,(10-Assumptions!F24+1)/MAX(Assumptions!H24,1)),0)+IF(AND(Assumptions!C25="Sales",Assumptions!F25&lt;=10,Assumptions!F25&gt;0),Assumptions!G25*MIN(1,(10-Assumptions!F25+1)/MAX(Assumptions!H25,1)),0)+IF(AND(Assumptions!C26="Sales",Assumptions!F26&lt;=10,Assumptions!F26&gt;0),Assumptions!G26*MIN(1,(10-Assumptions!F26+1)/MAX(Assumptions!H26,1)),0)+IF(AND(Assumptions!C27="Sales",Assumptions!F27&lt;=10,Assumptions!F27&gt;0),Assumptions!G27*MIN(1,(10-Assumptions!F27+1)/MAX(Assumptions!H27,1)),0)+IF(AND(Assumptions!C28="Sales",Assumptions!F28&lt;=10,Assumptions!F28&gt;0),Assumptions!G28*MIN(1,(10-Assumptions!F28+1)/MAX(Assumptions!H28,1)),0)+IF(AND(Assumptions!C29="Sales",Assumptions!F29&lt;=10,Assumptions!F29&gt;0),Assumptions!G29*MIN(1,(10-Assumptions!F29+1)/MAX(Assumptions!H29,1)),0)</f>
        <v>25</v>
      </c>
      <c r="M6" s="48">
        <f>IF(AND(Assumptions!C20="Sales",Assumptions!F20&lt;=11,Assumptions!F20&gt;0),Assumptions!G20*MIN(1,(11-Assumptions!F20+1)/MAX(Assumptions!H20,1)),0)+IF(AND(Assumptions!C21="Sales",Assumptions!F21&lt;=11,Assumptions!F21&gt;0),Assumptions!G21*MIN(1,(11-Assumptions!F21+1)/MAX(Assumptions!H21,1)),0)+IF(AND(Assumptions!C22="Sales",Assumptions!F22&lt;=11,Assumptions!F22&gt;0),Assumptions!G22*MIN(1,(11-Assumptions!F22+1)/MAX(Assumptions!H22,1)),0)+IF(AND(Assumptions!C23="Sales",Assumptions!F23&lt;=11,Assumptions!F23&gt;0),Assumptions!G23*MIN(1,(11-Assumptions!F23+1)/MAX(Assumptions!H23,1)),0)+IF(AND(Assumptions!C24="Sales",Assumptions!F24&lt;=11,Assumptions!F24&gt;0),Assumptions!G24*MIN(1,(11-Assumptions!F24+1)/MAX(Assumptions!H24,1)),0)+IF(AND(Assumptions!C25="Sales",Assumptions!F25&lt;=11,Assumptions!F25&gt;0),Assumptions!G25*MIN(1,(11-Assumptions!F25+1)/MAX(Assumptions!H25,1)),0)+IF(AND(Assumptions!C26="Sales",Assumptions!F26&lt;=11,Assumptions!F26&gt;0),Assumptions!G26*MIN(1,(11-Assumptions!F26+1)/MAX(Assumptions!H26,1)),0)+IF(AND(Assumptions!C27="Sales",Assumptions!F27&lt;=11,Assumptions!F27&gt;0),Assumptions!G27*MIN(1,(11-Assumptions!F27+1)/MAX(Assumptions!H27,1)),0)+IF(AND(Assumptions!C28="Sales",Assumptions!F28&lt;=11,Assumptions!F28&gt;0),Assumptions!G28*MIN(1,(11-Assumptions!F28+1)/MAX(Assumptions!H28,1)),0)+IF(AND(Assumptions!C29="Sales",Assumptions!F29&lt;=11,Assumptions!F29&gt;0),Assumptions!G29*MIN(1,(11-Assumptions!F29+1)/MAX(Assumptions!H29,1)),0)</f>
        <v>25</v>
      </c>
      <c r="N6" s="49">
        <f>IF(AND(Assumptions!C20="Sales",Assumptions!F20&lt;=12,Assumptions!F20&gt;0),Assumptions!G20*MIN(1,(12-Assumptions!F20+1)/MAX(Assumptions!H20,1)),0)+IF(AND(Assumptions!C21="Sales",Assumptions!F21&lt;=12,Assumptions!F21&gt;0),Assumptions!G21*MIN(1,(12-Assumptions!F21+1)/MAX(Assumptions!H21,1)),0)+IF(AND(Assumptions!C22="Sales",Assumptions!F22&lt;=12,Assumptions!F22&gt;0),Assumptions!G22*MIN(1,(12-Assumptions!F22+1)/MAX(Assumptions!H22,1)),0)+IF(AND(Assumptions!C23="Sales",Assumptions!F23&lt;=12,Assumptions!F23&gt;0),Assumptions!G23*MIN(1,(12-Assumptions!F23+1)/MAX(Assumptions!H23,1)),0)+IF(AND(Assumptions!C24="Sales",Assumptions!F24&lt;=12,Assumptions!F24&gt;0),Assumptions!G24*MIN(1,(12-Assumptions!F24+1)/MAX(Assumptions!H24,1)),0)+IF(AND(Assumptions!C25="Sales",Assumptions!F25&lt;=12,Assumptions!F25&gt;0),Assumptions!G25*MIN(1,(12-Assumptions!F25+1)/MAX(Assumptions!H25,1)),0)+IF(AND(Assumptions!C26="Sales",Assumptions!F26&lt;=12,Assumptions!F26&gt;0),Assumptions!G26*MIN(1,(12-Assumptions!F26+1)/MAX(Assumptions!H26,1)),0)+IF(AND(Assumptions!C27="Sales",Assumptions!F27&lt;=12,Assumptions!F27&gt;0),Assumptions!G27*MIN(1,(12-Assumptions!F27+1)/MAX(Assumptions!H27,1)),0)+IF(AND(Assumptions!C28="Sales",Assumptions!F28&lt;=12,Assumptions!F28&gt;0),Assumptions!G28*MIN(1,(12-Assumptions!F28+1)/MAX(Assumptions!H28,1)),0)+IF(AND(Assumptions!C29="Sales",Assumptions!F29&lt;=12,Assumptions!F29&gt;0),Assumptions!G29*MIN(1,(12-Assumptions!F29+1)/MAX(Assumptions!H29,1)),0)</f>
        <v>25</v>
      </c>
      <c r="O6" s="50">
        <f>SUM(C6:N6)</f>
        <v>187.5</v>
      </c>
      <c r="P6" s="48">
        <f>IF(AND(Assumptions!C20="Sales",Assumptions!F20&lt;=13,Assumptions!F20&gt;0),Assumptions!G20*MIN(1,(13-Assumptions!F20+1)/MAX(Assumptions!H20,1)),0)+IF(AND(Assumptions!C21="Sales",Assumptions!F21&lt;=13,Assumptions!F21&gt;0),Assumptions!G21*MIN(1,(13-Assumptions!F21+1)/MAX(Assumptions!H21,1)),0)+IF(AND(Assumptions!C22="Sales",Assumptions!F22&lt;=13,Assumptions!F22&gt;0),Assumptions!G22*MIN(1,(13-Assumptions!F22+1)/MAX(Assumptions!H22,1)),0)+IF(AND(Assumptions!C23="Sales",Assumptions!F23&lt;=13,Assumptions!F23&gt;0),Assumptions!G23*MIN(1,(13-Assumptions!F23+1)/MAX(Assumptions!H23,1)),0)+IF(AND(Assumptions!C24="Sales",Assumptions!F24&lt;=13,Assumptions!F24&gt;0),Assumptions!G24*MIN(1,(13-Assumptions!F24+1)/MAX(Assumptions!H24,1)),0)+IF(AND(Assumptions!C25="Sales",Assumptions!F25&lt;=13,Assumptions!F25&gt;0),Assumptions!G25*MIN(1,(13-Assumptions!F25+1)/MAX(Assumptions!H25,1)),0)+IF(AND(Assumptions!C26="Sales",Assumptions!F26&lt;=13,Assumptions!F26&gt;0),Assumptions!G26*MIN(1,(13-Assumptions!F26+1)/MAX(Assumptions!H26,1)),0)+IF(AND(Assumptions!C27="Sales",Assumptions!F27&lt;=13,Assumptions!F27&gt;0),Assumptions!G27*MIN(1,(13-Assumptions!F27+1)/MAX(Assumptions!H27,1)),0)+IF(AND(Assumptions!C28="Sales",Assumptions!F28&lt;=13,Assumptions!F28&gt;0),Assumptions!G28*MIN(1,(13-Assumptions!F28+1)/MAX(Assumptions!H28,1)),0)+IF(AND(Assumptions!C29="Sales",Assumptions!F29&lt;=13,Assumptions!F29&gt;0),Assumptions!G29*MIN(1,(13-Assumptions!F29+1)/MAX(Assumptions!H29,1)),0)</f>
        <v>25</v>
      </c>
      <c r="Q6" s="49">
        <f>IF(AND(Assumptions!C20="Sales",Assumptions!F20&lt;=14,Assumptions!F20&gt;0),Assumptions!G20*MIN(1,(14-Assumptions!F20+1)/MAX(Assumptions!H20,1)),0)+IF(AND(Assumptions!C21="Sales",Assumptions!F21&lt;=14,Assumptions!F21&gt;0),Assumptions!G21*MIN(1,(14-Assumptions!F21+1)/MAX(Assumptions!H21,1)),0)+IF(AND(Assumptions!C22="Sales",Assumptions!F22&lt;=14,Assumptions!F22&gt;0),Assumptions!G22*MIN(1,(14-Assumptions!F22+1)/MAX(Assumptions!H22,1)),0)+IF(AND(Assumptions!C23="Sales",Assumptions!F23&lt;=14,Assumptions!F23&gt;0),Assumptions!G23*MIN(1,(14-Assumptions!F23+1)/MAX(Assumptions!H23,1)),0)+IF(AND(Assumptions!C24="Sales",Assumptions!F24&lt;=14,Assumptions!F24&gt;0),Assumptions!G24*MIN(1,(14-Assumptions!F24+1)/MAX(Assumptions!H24,1)),0)+IF(AND(Assumptions!C25="Sales",Assumptions!F25&lt;=14,Assumptions!F25&gt;0),Assumptions!G25*MIN(1,(14-Assumptions!F25+1)/MAX(Assumptions!H25,1)),0)+IF(AND(Assumptions!C26="Sales",Assumptions!F26&lt;=14,Assumptions!F26&gt;0),Assumptions!G26*MIN(1,(14-Assumptions!F26+1)/MAX(Assumptions!H26,1)),0)+IF(AND(Assumptions!C27="Sales",Assumptions!F27&lt;=14,Assumptions!F27&gt;0),Assumptions!G27*MIN(1,(14-Assumptions!F27+1)/MAX(Assumptions!H27,1)),0)+IF(AND(Assumptions!C28="Sales",Assumptions!F28&lt;=14,Assumptions!F28&gt;0),Assumptions!G28*MIN(1,(14-Assumptions!F28+1)/MAX(Assumptions!H28,1)),0)+IF(AND(Assumptions!C29="Sales",Assumptions!F29&lt;=14,Assumptions!F29&gt;0),Assumptions!G29*MIN(1,(14-Assumptions!F29+1)/MAX(Assumptions!H29,1)),0)</f>
        <v>25</v>
      </c>
      <c r="R6" s="48">
        <f>IF(AND(Assumptions!C20="Sales",Assumptions!F20&lt;=15,Assumptions!F20&gt;0),Assumptions!G20*MIN(1,(15-Assumptions!F20+1)/MAX(Assumptions!H20,1)),0)+IF(AND(Assumptions!C21="Sales",Assumptions!F21&lt;=15,Assumptions!F21&gt;0),Assumptions!G21*MIN(1,(15-Assumptions!F21+1)/MAX(Assumptions!H21,1)),0)+IF(AND(Assumptions!C22="Sales",Assumptions!F22&lt;=15,Assumptions!F22&gt;0),Assumptions!G22*MIN(1,(15-Assumptions!F22+1)/MAX(Assumptions!H22,1)),0)+IF(AND(Assumptions!C23="Sales",Assumptions!F23&lt;=15,Assumptions!F23&gt;0),Assumptions!G23*MIN(1,(15-Assumptions!F23+1)/MAX(Assumptions!H23,1)),0)+IF(AND(Assumptions!C24="Sales",Assumptions!F24&lt;=15,Assumptions!F24&gt;0),Assumptions!G24*MIN(1,(15-Assumptions!F24+1)/MAX(Assumptions!H24,1)),0)+IF(AND(Assumptions!C25="Sales",Assumptions!F25&lt;=15,Assumptions!F25&gt;0),Assumptions!G25*MIN(1,(15-Assumptions!F25+1)/MAX(Assumptions!H25,1)),0)+IF(AND(Assumptions!C26="Sales",Assumptions!F26&lt;=15,Assumptions!F26&gt;0),Assumptions!G26*MIN(1,(15-Assumptions!F26+1)/MAX(Assumptions!H26,1)),0)+IF(AND(Assumptions!C27="Sales",Assumptions!F27&lt;=15,Assumptions!F27&gt;0),Assumptions!G27*MIN(1,(15-Assumptions!F27+1)/MAX(Assumptions!H27,1)),0)+IF(AND(Assumptions!C28="Sales",Assumptions!F28&lt;=15,Assumptions!F28&gt;0),Assumptions!G28*MIN(1,(15-Assumptions!F28+1)/MAX(Assumptions!H28,1)),0)+IF(AND(Assumptions!C29="Sales",Assumptions!F29&lt;=15,Assumptions!F29&gt;0),Assumptions!G29*MIN(1,(15-Assumptions!F29+1)/MAX(Assumptions!H29,1)),0)</f>
        <v>25</v>
      </c>
      <c r="S6" s="49">
        <f>IF(AND(Assumptions!C20="Sales",Assumptions!F20&lt;=16,Assumptions!F20&gt;0),Assumptions!G20*MIN(1,(16-Assumptions!F20+1)/MAX(Assumptions!H20,1)),0)+IF(AND(Assumptions!C21="Sales",Assumptions!F21&lt;=16,Assumptions!F21&gt;0),Assumptions!G21*MIN(1,(16-Assumptions!F21+1)/MAX(Assumptions!H21,1)),0)+IF(AND(Assumptions!C22="Sales",Assumptions!F22&lt;=16,Assumptions!F22&gt;0),Assumptions!G22*MIN(1,(16-Assumptions!F22+1)/MAX(Assumptions!H22,1)),0)+IF(AND(Assumptions!C23="Sales",Assumptions!F23&lt;=16,Assumptions!F23&gt;0),Assumptions!G23*MIN(1,(16-Assumptions!F23+1)/MAX(Assumptions!H23,1)),0)+IF(AND(Assumptions!C24="Sales",Assumptions!F24&lt;=16,Assumptions!F24&gt;0),Assumptions!G24*MIN(1,(16-Assumptions!F24+1)/MAX(Assumptions!H24,1)),0)+IF(AND(Assumptions!C25="Sales",Assumptions!F25&lt;=16,Assumptions!F25&gt;0),Assumptions!G25*MIN(1,(16-Assumptions!F25+1)/MAX(Assumptions!H25,1)),0)+IF(AND(Assumptions!C26="Sales",Assumptions!F26&lt;=16,Assumptions!F26&gt;0),Assumptions!G26*MIN(1,(16-Assumptions!F26+1)/MAX(Assumptions!H26,1)),0)+IF(AND(Assumptions!C27="Sales",Assumptions!F27&lt;=16,Assumptions!F27&gt;0),Assumptions!G27*MIN(1,(16-Assumptions!F27+1)/MAX(Assumptions!H27,1)),0)+IF(AND(Assumptions!C28="Sales",Assumptions!F28&lt;=16,Assumptions!F28&gt;0),Assumptions!G28*MIN(1,(16-Assumptions!F28+1)/MAX(Assumptions!H28,1)),0)+IF(AND(Assumptions!C29="Sales",Assumptions!F29&lt;=16,Assumptions!F29&gt;0),Assumptions!G29*MIN(1,(16-Assumptions!F29+1)/MAX(Assumptions!H29,1)),0)</f>
        <v>25</v>
      </c>
      <c r="T6" s="48">
        <f>IF(AND(Assumptions!C20="Sales",Assumptions!F20&lt;=17,Assumptions!F20&gt;0),Assumptions!G20*MIN(1,(17-Assumptions!F20+1)/MAX(Assumptions!H20,1)),0)+IF(AND(Assumptions!C21="Sales",Assumptions!F21&lt;=17,Assumptions!F21&gt;0),Assumptions!G21*MIN(1,(17-Assumptions!F21+1)/MAX(Assumptions!H21,1)),0)+IF(AND(Assumptions!C22="Sales",Assumptions!F22&lt;=17,Assumptions!F22&gt;0),Assumptions!G22*MIN(1,(17-Assumptions!F22+1)/MAX(Assumptions!H22,1)),0)+IF(AND(Assumptions!C23="Sales",Assumptions!F23&lt;=17,Assumptions!F23&gt;0),Assumptions!G23*MIN(1,(17-Assumptions!F23+1)/MAX(Assumptions!H23,1)),0)+IF(AND(Assumptions!C24="Sales",Assumptions!F24&lt;=17,Assumptions!F24&gt;0),Assumptions!G24*MIN(1,(17-Assumptions!F24+1)/MAX(Assumptions!H24,1)),0)+IF(AND(Assumptions!C25="Sales",Assumptions!F25&lt;=17,Assumptions!F25&gt;0),Assumptions!G25*MIN(1,(17-Assumptions!F25+1)/MAX(Assumptions!H25,1)),0)+IF(AND(Assumptions!C26="Sales",Assumptions!F26&lt;=17,Assumptions!F26&gt;0),Assumptions!G26*MIN(1,(17-Assumptions!F26+1)/MAX(Assumptions!H26,1)),0)+IF(AND(Assumptions!C27="Sales",Assumptions!F27&lt;=17,Assumptions!F27&gt;0),Assumptions!G27*MIN(1,(17-Assumptions!F27+1)/MAX(Assumptions!H27,1)),0)+IF(AND(Assumptions!C28="Sales",Assumptions!F28&lt;=17,Assumptions!F28&gt;0),Assumptions!G28*MIN(1,(17-Assumptions!F28+1)/MAX(Assumptions!H28,1)),0)+IF(AND(Assumptions!C29="Sales",Assumptions!F29&lt;=17,Assumptions!F29&gt;0),Assumptions!G29*MIN(1,(17-Assumptions!F29+1)/MAX(Assumptions!H29,1)),0)</f>
        <v>25</v>
      </c>
      <c r="U6" s="49">
        <f>IF(AND(Assumptions!C20="Sales",Assumptions!F20&lt;=18,Assumptions!F20&gt;0),Assumptions!G20*MIN(1,(18-Assumptions!F20+1)/MAX(Assumptions!H20,1)),0)+IF(AND(Assumptions!C21="Sales",Assumptions!F21&lt;=18,Assumptions!F21&gt;0),Assumptions!G21*MIN(1,(18-Assumptions!F21+1)/MAX(Assumptions!H21,1)),0)+IF(AND(Assumptions!C22="Sales",Assumptions!F22&lt;=18,Assumptions!F22&gt;0),Assumptions!G22*MIN(1,(18-Assumptions!F22+1)/MAX(Assumptions!H22,1)),0)+IF(AND(Assumptions!C23="Sales",Assumptions!F23&lt;=18,Assumptions!F23&gt;0),Assumptions!G23*MIN(1,(18-Assumptions!F23+1)/MAX(Assumptions!H23,1)),0)+IF(AND(Assumptions!C24="Sales",Assumptions!F24&lt;=18,Assumptions!F24&gt;0),Assumptions!G24*MIN(1,(18-Assumptions!F24+1)/MAX(Assumptions!H24,1)),0)+IF(AND(Assumptions!C25="Sales",Assumptions!F25&lt;=18,Assumptions!F25&gt;0),Assumptions!G25*MIN(1,(18-Assumptions!F25+1)/MAX(Assumptions!H25,1)),0)+IF(AND(Assumptions!C26="Sales",Assumptions!F26&lt;=18,Assumptions!F26&gt;0),Assumptions!G26*MIN(1,(18-Assumptions!F26+1)/MAX(Assumptions!H26,1)),0)+IF(AND(Assumptions!C27="Sales",Assumptions!F27&lt;=18,Assumptions!F27&gt;0),Assumptions!G27*MIN(1,(18-Assumptions!F27+1)/MAX(Assumptions!H27,1)),0)+IF(AND(Assumptions!C28="Sales",Assumptions!F28&lt;=18,Assumptions!F28&gt;0),Assumptions!G28*MIN(1,(18-Assumptions!F28+1)/MAX(Assumptions!H28,1)),0)+IF(AND(Assumptions!C29="Sales",Assumptions!F29&lt;=18,Assumptions!F29&gt;0),Assumptions!G29*MIN(1,(18-Assumptions!F29+1)/MAX(Assumptions!H29,1)),0)</f>
        <v>25</v>
      </c>
      <c r="V6" s="48">
        <f>IF(AND(Assumptions!C20="Sales",Assumptions!F20&lt;=19,Assumptions!F20&gt;0),Assumptions!G20*MIN(1,(19-Assumptions!F20+1)/MAX(Assumptions!H20,1)),0)+IF(AND(Assumptions!C21="Sales",Assumptions!F21&lt;=19,Assumptions!F21&gt;0),Assumptions!G21*MIN(1,(19-Assumptions!F21+1)/MAX(Assumptions!H21,1)),0)+IF(AND(Assumptions!C22="Sales",Assumptions!F22&lt;=19,Assumptions!F22&gt;0),Assumptions!G22*MIN(1,(19-Assumptions!F22+1)/MAX(Assumptions!H22,1)),0)+IF(AND(Assumptions!C23="Sales",Assumptions!F23&lt;=19,Assumptions!F23&gt;0),Assumptions!G23*MIN(1,(19-Assumptions!F23+1)/MAX(Assumptions!H23,1)),0)+IF(AND(Assumptions!C24="Sales",Assumptions!F24&lt;=19,Assumptions!F24&gt;0),Assumptions!G24*MIN(1,(19-Assumptions!F24+1)/MAX(Assumptions!H24,1)),0)+IF(AND(Assumptions!C25="Sales",Assumptions!F25&lt;=19,Assumptions!F25&gt;0),Assumptions!G25*MIN(1,(19-Assumptions!F25+1)/MAX(Assumptions!H25,1)),0)+IF(AND(Assumptions!C26="Sales",Assumptions!F26&lt;=19,Assumptions!F26&gt;0),Assumptions!G26*MIN(1,(19-Assumptions!F26+1)/MAX(Assumptions!H26,1)),0)+IF(AND(Assumptions!C27="Sales",Assumptions!F27&lt;=19,Assumptions!F27&gt;0),Assumptions!G27*MIN(1,(19-Assumptions!F27+1)/MAX(Assumptions!H27,1)),0)+IF(AND(Assumptions!C28="Sales",Assumptions!F28&lt;=19,Assumptions!F28&gt;0),Assumptions!G28*MIN(1,(19-Assumptions!F28+1)/MAX(Assumptions!H28,1)),0)+IF(AND(Assumptions!C29="Sales",Assumptions!F29&lt;=19,Assumptions!F29&gt;0),Assumptions!G29*MIN(1,(19-Assumptions!F29+1)/MAX(Assumptions!H29,1)),0)</f>
        <v>25</v>
      </c>
      <c r="W6" s="49">
        <f>IF(AND(Assumptions!C20="Sales",Assumptions!F20&lt;=20,Assumptions!F20&gt;0),Assumptions!G20*MIN(1,(20-Assumptions!F20+1)/MAX(Assumptions!H20,1)),0)+IF(AND(Assumptions!C21="Sales",Assumptions!F21&lt;=20,Assumptions!F21&gt;0),Assumptions!G21*MIN(1,(20-Assumptions!F21+1)/MAX(Assumptions!H21,1)),0)+IF(AND(Assumptions!C22="Sales",Assumptions!F22&lt;=20,Assumptions!F22&gt;0),Assumptions!G22*MIN(1,(20-Assumptions!F22+1)/MAX(Assumptions!H22,1)),0)+IF(AND(Assumptions!C23="Sales",Assumptions!F23&lt;=20,Assumptions!F23&gt;0),Assumptions!G23*MIN(1,(20-Assumptions!F23+1)/MAX(Assumptions!H23,1)),0)+IF(AND(Assumptions!C24="Sales",Assumptions!F24&lt;=20,Assumptions!F24&gt;0),Assumptions!G24*MIN(1,(20-Assumptions!F24+1)/MAX(Assumptions!H24,1)),0)+IF(AND(Assumptions!C25="Sales",Assumptions!F25&lt;=20,Assumptions!F25&gt;0),Assumptions!G25*MIN(1,(20-Assumptions!F25+1)/MAX(Assumptions!H25,1)),0)+IF(AND(Assumptions!C26="Sales",Assumptions!F26&lt;=20,Assumptions!F26&gt;0),Assumptions!G26*MIN(1,(20-Assumptions!F26+1)/MAX(Assumptions!H26,1)),0)+IF(AND(Assumptions!C27="Sales",Assumptions!F27&lt;=20,Assumptions!F27&gt;0),Assumptions!G27*MIN(1,(20-Assumptions!F27+1)/MAX(Assumptions!H27,1)),0)+IF(AND(Assumptions!C28="Sales",Assumptions!F28&lt;=20,Assumptions!F28&gt;0),Assumptions!G28*MIN(1,(20-Assumptions!F28+1)/MAX(Assumptions!H28,1)),0)+IF(AND(Assumptions!C29="Sales",Assumptions!F29&lt;=20,Assumptions!F29&gt;0),Assumptions!G29*MIN(1,(20-Assumptions!F29+1)/MAX(Assumptions!H29,1)),0)</f>
        <v>25</v>
      </c>
      <c r="X6" s="48">
        <f>IF(AND(Assumptions!C20="Sales",Assumptions!F20&lt;=21,Assumptions!F20&gt;0),Assumptions!G20*MIN(1,(21-Assumptions!F20+1)/MAX(Assumptions!H20,1)),0)+IF(AND(Assumptions!C21="Sales",Assumptions!F21&lt;=21,Assumptions!F21&gt;0),Assumptions!G21*MIN(1,(21-Assumptions!F21+1)/MAX(Assumptions!H21,1)),0)+IF(AND(Assumptions!C22="Sales",Assumptions!F22&lt;=21,Assumptions!F22&gt;0),Assumptions!G22*MIN(1,(21-Assumptions!F22+1)/MAX(Assumptions!H22,1)),0)+IF(AND(Assumptions!C23="Sales",Assumptions!F23&lt;=21,Assumptions!F23&gt;0),Assumptions!G23*MIN(1,(21-Assumptions!F23+1)/MAX(Assumptions!H23,1)),0)+IF(AND(Assumptions!C24="Sales",Assumptions!F24&lt;=21,Assumptions!F24&gt;0),Assumptions!G24*MIN(1,(21-Assumptions!F24+1)/MAX(Assumptions!H24,1)),0)+IF(AND(Assumptions!C25="Sales",Assumptions!F25&lt;=21,Assumptions!F25&gt;0),Assumptions!G25*MIN(1,(21-Assumptions!F25+1)/MAX(Assumptions!H25,1)),0)+IF(AND(Assumptions!C26="Sales",Assumptions!F26&lt;=21,Assumptions!F26&gt;0),Assumptions!G26*MIN(1,(21-Assumptions!F26+1)/MAX(Assumptions!H26,1)),0)+IF(AND(Assumptions!C27="Sales",Assumptions!F27&lt;=21,Assumptions!F27&gt;0),Assumptions!G27*MIN(1,(21-Assumptions!F27+1)/MAX(Assumptions!H27,1)),0)+IF(AND(Assumptions!C28="Sales",Assumptions!F28&lt;=21,Assumptions!F28&gt;0),Assumptions!G28*MIN(1,(21-Assumptions!F28+1)/MAX(Assumptions!H28,1)),0)+IF(AND(Assumptions!C29="Sales",Assumptions!F29&lt;=21,Assumptions!F29&gt;0),Assumptions!G29*MIN(1,(21-Assumptions!F29+1)/MAX(Assumptions!H29,1)),0)</f>
        <v>25</v>
      </c>
      <c r="Y6" s="49">
        <f>IF(AND(Assumptions!C20="Sales",Assumptions!F20&lt;=22,Assumptions!F20&gt;0),Assumptions!G20*MIN(1,(22-Assumptions!F20+1)/MAX(Assumptions!H20,1)),0)+IF(AND(Assumptions!C21="Sales",Assumptions!F21&lt;=22,Assumptions!F21&gt;0),Assumptions!G21*MIN(1,(22-Assumptions!F21+1)/MAX(Assumptions!H21,1)),0)+IF(AND(Assumptions!C22="Sales",Assumptions!F22&lt;=22,Assumptions!F22&gt;0),Assumptions!G22*MIN(1,(22-Assumptions!F22+1)/MAX(Assumptions!H22,1)),0)+IF(AND(Assumptions!C23="Sales",Assumptions!F23&lt;=22,Assumptions!F23&gt;0),Assumptions!G23*MIN(1,(22-Assumptions!F23+1)/MAX(Assumptions!H23,1)),0)+IF(AND(Assumptions!C24="Sales",Assumptions!F24&lt;=22,Assumptions!F24&gt;0),Assumptions!G24*MIN(1,(22-Assumptions!F24+1)/MAX(Assumptions!H24,1)),0)+IF(AND(Assumptions!C25="Sales",Assumptions!F25&lt;=22,Assumptions!F25&gt;0),Assumptions!G25*MIN(1,(22-Assumptions!F25+1)/MAX(Assumptions!H25,1)),0)+IF(AND(Assumptions!C26="Sales",Assumptions!F26&lt;=22,Assumptions!F26&gt;0),Assumptions!G26*MIN(1,(22-Assumptions!F26+1)/MAX(Assumptions!H26,1)),0)+IF(AND(Assumptions!C27="Sales",Assumptions!F27&lt;=22,Assumptions!F27&gt;0),Assumptions!G27*MIN(1,(22-Assumptions!F27+1)/MAX(Assumptions!H27,1)),0)+IF(AND(Assumptions!C28="Sales",Assumptions!F28&lt;=22,Assumptions!F28&gt;0),Assumptions!G28*MIN(1,(22-Assumptions!F28+1)/MAX(Assumptions!H28,1)),0)+IF(AND(Assumptions!C29="Sales",Assumptions!F29&lt;=22,Assumptions!F29&gt;0),Assumptions!G29*MIN(1,(22-Assumptions!F29+1)/MAX(Assumptions!H29,1)),0)</f>
        <v>25</v>
      </c>
      <c r="Z6" s="48">
        <f>IF(AND(Assumptions!C20="Sales",Assumptions!F20&lt;=23,Assumptions!F20&gt;0),Assumptions!G20*MIN(1,(23-Assumptions!F20+1)/MAX(Assumptions!H20,1)),0)+IF(AND(Assumptions!C21="Sales",Assumptions!F21&lt;=23,Assumptions!F21&gt;0),Assumptions!G21*MIN(1,(23-Assumptions!F21+1)/MAX(Assumptions!H21,1)),0)+IF(AND(Assumptions!C22="Sales",Assumptions!F22&lt;=23,Assumptions!F22&gt;0),Assumptions!G22*MIN(1,(23-Assumptions!F22+1)/MAX(Assumptions!H22,1)),0)+IF(AND(Assumptions!C23="Sales",Assumptions!F23&lt;=23,Assumptions!F23&gt;0),Assumptions!G23*MIN(1,(23-Assumptions!F23+1)/MAX(Assumptions!H23,1)),0)+IF(AND(Assumptions!C24="Sales",Assumptions!F24&lt;=23,Assumptions!F24&gt;0),Assumptions!G24*MIN(1,(23-Assumptions!F24+1)/MAX(Assumptions!H24,1)),0)+IF(AND(Assumptions!C25="Sales",Assumptions!F25&lt;=23,Assumptions!F25&gt;0),Assumptions!G25*MIN(1,(23-Assumptions!F25+1)/MAX(Assumptions!H25,1)),0)+IF(AND(Assumptions!C26="Sales",Assumptions!F26&lt;=23,Assumptions!F26&gt;0),Assumptions!G26*MIN(1,(23-Assumptions!F26+1)/MAX(Assumptions!H26,1)),0)+IF(AND(Assumptions!C27="Sales",Assumptions!F27&lt;=23,Assumptions!F27&gt;0),Assumptions!G27*MIN(1,(23-Assumptions!F27+1)/MAX(Assumptions!H27,1)),0)+IF(AND(Assumptions!C28="Sales",Assumptions!F28&lt;=23,Assumptions!F28&gt;0),Assumptions!G28*MIN(1,(23-Assumptions!F28+1)/MAX(Assumptions!H28,1)),0)+IF(AND(Assumptions!C29="Sales",Assumptions!F29&lt;=23,Assumptions!F29&gt;0),Assumptions!G29*MIN(1,(23-Assumptions!F29+1)/MAX(Assumptions!H29,1)),0)</f>
        <v>25</v>
      </c>
      <c r="AA6" s="49">
        <f>IF(AND(Assumptions!C20="Sales",Assumptions!F20&lt;=24,Assumptions!F20&gt;0),Assumptions!G20*MIN(1,(24-Assumptions!F20+1)/MAX(Assumptions!H20,1)),0)+IF(AND(Assumptions!C21="Sales",Assumptions!F21&lt;=24,Assumptions!F21&gt;0),Assumptions!G21*MIN(1,(24-Assumptions!F21+1)/MAX(Assumptions!H21,1)),0)+IF(AND(Assumptions!C22="Sales",Assumptions!F22&lt;=24,Assumptions!F22&gt;0),Assumptions!G22*MIN(1,(24-Assumptions!F22+1)/MAX(Assumptions!H22,1)),0)+IF(AND(Assumptions!C23="Sales",Assumptions!F23&lt;=24,Assumptions!F23&gt;0),Assumptions!G23*MIN(1,(24-Assumptions!F23+1)/MAX(Assumptions!H23,1)),0)+IF(AND(Assumptions!C24="Sales",Assumptions!F24&lt;=24,Assumptions!F24&gt;0),Assumptions!G24*MIN(1,(24-Assumptions!F24+1)/MAX(Assumptions!H24,1)),0)+IF(AND(Assumptions!C25="Sales",Assumptions!F25&lt;=24,Assumptions!F25&gt;0),Assumptions!G25*MIN(1,(24-Assumptions!F25+1)/MAX(Assumptions!H25,1)),0)+IF(AND(Assumptions!C26="Sales",Assumptions!F26&lt;=24,Assumptions!F26&gt;0),Assumptions!G26*MIN(1,(24-Assumptions!F26+1)/MAX(Assumptions!H26,1)),0)+IF(AND(Assumptions!C27="Sales",Assumptions!F27&lt;=24,Assumptions!F27&gt;0),Assumptions!G27*MIN(1,(24-Assumptions!F27+1)/MAX(Assumptions!H27,1)),0)+IF(AND(Assumptions!C28="Sales",Assumptions!F28&lt;=24,Assumptions!F28&gt;0),Assumptions!G28*MIN(1,(24-Assumptions!F28+1)/MAX(Assumptions!H28,1)),0)+IF(AND(Assumptions!C29="Sales",Assumptions!F29&lt;=24,Assumptions!F29&gt;0),Assumptions!G29*MIN(1,(24-Assumptions!F29+1)/MAX(Assumptions!H29,1)),0)</f>
        <v>25</v>
      </c>
      <c r="AB6" s="50">
        <f>SUM(P6:AA6)</f>
        <v>300</v>
      </c>
      <c r="AC6" s="48">
        <f>IF(AND(Assumptions!C20="Sales",Assumptions!F20&lt;=25,Assumptions!F20&gt;0),Assumptions!G20*MIN(1,(25-Assumptions!F20+1)/MAX(Assumptions!H20,1)),0)+IF(AND(Assumptions!C21="Sales",Assumptions!F21&lt;=25,Assumptions!F21&gt;0),Assumptions!G21*MIN(1,(25-Assumptions!F21+1)/MAX(Assumptions!H21,1)),0)+IF(AND(Assumptions!C22="Sales",Assumptions!F22&lt;=25,Assumptions!F22&gt;0),Assumptions!G22*MIN(1,(25-Assumptions!F22+1)/MAX(Assumptions!H22,1)),0)+IF(AND(Assumptions!C23="Sales",Assumptions!F23&lt;=25,Assumptions!F23&gt;0),Assumptions!G23*MIN(1,(25-Assumptions!F23+1)/MAX(Assumptions!H23,1)),0)+IF(AND(Assumptions!C24="Sales",Assumptions!F24&lt;=25,Assumptions!F24&gt;0),Assumptions!G24*MIN(1,(25-Assumptions!F24+1)/MAX(Assumptions!H24,1)),0)+IF(AND(Assumptions!C25="Sales",Assumptions!F25&lt;=25,Assumptions!F25&gt;0),Assumptions!G25*MIN(1,(25-Assumptions!F25+1)/MAX(Assumptions!H25,1)),0)+IF(AND(Assumptions!C26="Sales",Assumptions!F26&lt;=25,Assumptions!F26&gt;0),Assumptions!G26*MIN(1,(25-Assumptions!F26+1)/MAX(Assumptions!H26,1)),0)+IF(AND(Assumptions!C27="Sales",Assumptions!F27&lt;=25,Assumptions!F27&gt;0),Assumptions!G27*MIN(1,(25-Assumptions!F27+1)/MAX(Assumptions!H27,1)),0)+IF(AND(Assumptions!C28="Sales",Assumptions!F28&lt;=25,Assumptions!F28&gt;0),Assumptions!G28*MIN(1,(25-Assumptions!F28+1)/MAX(Assumptions!H28,1)),0)+IF(AND(Assumptions!C29="Sales",Assumptions!F29&lt;=25,Assumptions!F29&gt;0),Assumptions!G29*MIN(1,(25-Assumptions!F29+1)/MAX(Assumptions!H29,1)),0)</f>
        <v>25</v>
      </c>
      <c r="AD6" s="49">
        <f>IF(AND(Assumptions!C20="Sales",Assumptions!F20&lt;=26,Assumptions!F20&gt;0),Assumptions!G20*MIN(1,(26-Assumptions!F20+1)/MAX(Assumptions!H20,1)),0)+IF(AND(Assumptions!C21="Sales",Assumptions!F21&lt;=26,Assumptions!F21&gt;0),Assumptions!G21*MIN(1,(26-Assumptions!F21+1)/MAX(Assumptions!H21,1)),0)+IF(AND(Assumptions!C22="Sales",Assumptions!F22&lt;=26,Assumptions!F22&gt;0),Assumptions!G22*MIN(1,(26-Assumptions!F22+1)/MAX(Assumptions!H22,1)),0)+IF(AND(Assumptions!C23="Sales",Assumptions!F23&lt;=26,Assumptions!F23&gt;0),Assumptions!G23*MIN(1,(26-Assumptions!F23+1)/MAX(Assumptions!H23,1)),0)+IF(AND(Assumptions!C24="Sales",Assumptions!F24&lt;=26,Assumptions!F24&gt;0),Assumptions!G24*MIN(1,(26-Assumptions!F24+1)/MAX(Assumptions!H24,1)),0)+IF(AND(Assumptions!C25="Sales",Assumptions!F25&lt;=26,Assumptions!F25&gt;0),Assumptions!G25*MIN(1,(26-Assumptions!F25+1)/MAX(Assumptions!H25,1)),0)+IF(AND(Assumptions!C26="Sales",Assumptions!F26&lt;=26,Assumptions!F26&gt;0),Assumptions!G26*MIN(1,(26-Assumptions!F26+1)/MAX(Assumptions!H26,1)),0)+IF(AND(Assumptions!C27="Sales",Assumptions!F27&lt;=26,Assumptions!F27&gt;0),Assumptions!G27*MIN(1,(26-Assumptions!F27+1)/MAX(Assumptions!H27,1)),0)+IF(AND(Assumptions!C28="Sales",Assumptions!F28&lt;=26,Assumptions!F28&gt;0),Assumptions!G28*MIN(1,(26-Assumptions!F28+1)/MAX(Assumptions!H28,1)),0)+IF(AND(Assumptions!C29="Sales",Assumptions!F29&lt;=26,Assumptions!F29&gt;0),Assumptions!G29*MIN(1,(26-Assumptions!F29+1)/MAX(Assumptions!H29,1)),0)</f>
        <v>25</v>
      </c>
      <c r="AE6" s="48">
        <f>IF(AND(Assumptions!C20="Sales",Assumptions!F20&lt;=27,Assumptions!F20&gt;0),Assumptions!G20*MIN(1,(27-Assumptions!F20+1)/MAX(Assumptions!H20,1)),0)+IF(AND(Assumptions!C21="Sales",Assumptions!F21&lt;=27,Assumptions!F21&gt;0),Assumptions!G21*MIN(1,(27-Assumptions!F21+1)/MAX(Assumptions!H21,1)),0)+IF(AND(Assumptions!C22="Sales",Assumptions!F22&lt;=27,Assumptions!F22&gt;0),Assumptions!G22*MIN(1,(27-Assumptions!F22+1)/MAX(Assumptions!H22,1)),0)+IF(AND(Assumptions!C23="Sales",Assumptions!F23&lt;=27,Assumptions!F23&gt;0),Assumptions!G23*MIN(1,(27-Assumptions!F23+1)/MAX(Assumptions!H23,1)),0)+IF(AND(Assumptions!C24="Sales",Assumptions!F24&lt;=27,Assumptions!F24&gt;0),Assumptions!G24*MIN(1,(27-Assumptions!F24+1)/MAX(Assumptions!H24,1)),0)+IF(AND(Assumptions!C25="Sales",Assumptions!F25&lt;=27,Assumptions!F25&gt;0),Assumptions!G25*MIN(1,(27-Assumptions!F25+1)/MAX(Assumptions!H25,1)),0)+IF(AND(Assumptions!C26="Sales",Assumptions!F26&lt;=27,Assumptions!F26&gt;0),Assumptions!G26*MIN(1,(27-Assumptions!F26+1)/MAX(Assumptions!H26,1)),0)+IF(AND(Assumptions!C27="Sales",Assumptions!F27&lt;=27,Assumptions!F27&gt;0),Assumptions!G27*MIN(1,(27-Assumptions!F27+1)/MAX(Assumptions!H27,1)),0)+IF(AND(Assumptions!C28="Sales",Assumptions!F28&lt;=27,Assumptions!F28&gt;0),Assumptions!G28*MIN(1,(27-Assumptions!F28+1)/MAX(Assumptions!H28,1)),0)+IF(AND(Assumptions!C29="Sales",Assumptions!F29&lt;=27,Assumptions!F29&gt;0),Assumptions!G29*MIN(1,(27-Assumptions!F29+1)/MAX(Assumptions!H29,1)),0)</f>
        <v>25</v>
      </c>
      <c r="AF6" s="49">
        <f>IF(AND(Assumptions!C20="Sales",Assumptions!F20&lt;=28,Assumptions!F20&gt;0),Assumptions!G20*MIN(1,(28-Assumptions!F20+1)/MAX(Assumptions!H20,1)),0)+IF(AND(Assumptions!C21="Sales",Assumptions!F21&lt;=28,Assumptions!F21&gt;0),Assumptions!G21*MIN(1,(28-Assumptions!F21+1)/MAX(Assumptions!H21,1)),0)+IF(AND(Assumptions!C22="Sales",Assumptions!F22&lt;=28,Assumptions!F22&gt;0),Assumptions!G22*MIN(1,(28-Assumptions!F22+1)/MAX(Assumptions!H22,1)),0)+IF(AND(Assumptions!C23="Sales",Assumptions!F23&lt;=28,Assumptions!F23&gt;0),Assumptions!G23*MIN(1,(28-Assumptions!F23+1)/MAX(Assumptions!H23,1)),0)+IF(AND(Assumptions!C24="Sales",Assumptions!F24&lt;=28,Assumptions!F24&gt;0),Assumptions!G24*MIN(1,(28-Assumptions!F24+1)/MAX(Assumptions!H24,1)),0)+IF(AND(Assumptions!C25="Sales",Assumptions!F25&lt;=28,Assumptions!F25&gt;0),Assumptions!G25*MIN(1,(28-Assumptions!F25+1)/MAX(Assumptions!H25,1)),0)+IF(AND(Assumptions!C26="Sales",Assumptions!F26&lt;=28,Assumptions!F26&gt;0),Assumptions!G26*MIN(1,(28-Assumptions!F26+1)/MAX(Assumptions!H26,1)),0)+IF(AND(Assumptions!C27="Sales",Assumptions!F27&lt;=28,Assumptions!F27&gt;0),Assumptions!G27*MIN(1,(28-Assumptions!F27+1)/MAX(Assumptions!H27,1)),0)+IF(AND(Assumptions!C28="Sales",Assumptions!F28&lt;=28,Assumptions!F28&gt;0),Assumptions!G28*MIN(1,(28-Assumptions!F28+1)/MAX(Assumptions!H28,1)),0)+IF(AND(Assumptions!C29="Sales",Assumptions!F29&lt;=28,Assumptions!F29&gt;0),Assumptions!G29*MIN(1,(28-Assumptions!F29+1)/MAX(Assumptions!H29,1)),0)</f>
        <v>25</v>
      </c>
      <c r="AG6" s="48">
        <f>IF(AND(Assumptions!C20="Sales",Assumptions!F20&lt;=29,Assumptions!F20&gt;0),Assumptions!G20*MIN(1,(29-Assumptions!F20+1)/MAX(Assumptions!H20,1)),0)+IF(AND(Assumptions!C21="Sales",Assumptions!F21&lt;=29,Assumptions!F21&gt;0),Assumptions!G21*MIN(1,(29-Assumptions!F21+1)/MAX(Assumptions!H21,1)),0)+IF(AND(Assumptions!C22="Sales",Assumptions!F22&lt;=29,Assumptions!F22&gt;0),Assumptions!G22*MIN(1,(29-Assumptions!F22+1)/MAX(Assumptions!H22,1)),0)+IF(AND(Assumptions!C23="Sales",Assumptions!F23&lt;=29,Assumptions!F23&gt;0),Assumptions!G23*MIN(1,(29-Assumptions!F23+1)/MAX(Assumptions!H23,1)),0)+IF(AND(Assumptions!C24="Sales",Assumptions!F24&lt;=29,Assumptions!F24&gt;0),Assumptions!G24*MIN(1,(29-Assumptions!F24+1)/MAX(Assumptions!H24,1)),0)+IF(AND(Assumptions!C25="Sales",Assumptions!F25&lt;=29,Assumptions!F25&gt;0),Assumptions!G25*MIN(1,(29-Assumptions!F25+1)/MAX(Assumptions!H25,1)),0)+IF(AND(Assumptions!C26="Sales",Assumptions!F26&lt;=29,Assumptions!F26&gt;0),Assumptions!G26*MIN(1,(29-Assumptions!F26+1)/MAX(Assumptions!H26,1)),0)+IF(AND(Assumptions!C27="Sales",Assumptions!F27&lt;=29,Assumptions!F27&gt;0),Assumptions!G27*MIN(1,(29-Assumptions!F27+1)/MAX(Assumptions!H27,1)),0)+IF(AND(Assumptions!C28="Sales",Assumptions!F28&lt;=29,Assumptions!F28&gt;0),Assumptions!G28*MIN(1,(29-Assumptions!F28+1)/MAX(Assumptions!H28,1)),0)+IF(AND(Assumptions!C29="Sales",Assumptions!F29&lt;=29,Assumptions!F29&gt;0),Assumptions!G29*MIN(1,(29-Assumptions!F29+1)/MAX(Assumptions!H29,1)),0)</f>
        <v>25</v>
      </c>
      <c r="AH6" s="49">
        <f>IF(AND(Assumptions!C20="Sales",Assumptions!F20&lt;=30,Assumptions!F20&gt;0),Assumptions!G20*MIN(1,(30-Assumptions!F20+1)/MAX(Assumptions!H20,1)),0)+IF(AND(Assumptions!C21="Sales",Assumptions!F21&lt;=30,Assumptions!F21&gt;0),Assumptions!G21*MIN(1,(30-Assumptions!F21+1)/MAX(Assumptions!H21,1)),0)+IF(AND(Assumptions!C22="Sales",Assumptions!F22&lt;=30,Assumptions!F22&gt;0),Assumptions!G22*MIN(1,(30-Assumptions!F22+1)/MAX(Assumptions!H22,1)),0)+IF(AND(Assumptions!C23="Sales",Assumptions!F23&lt;=30,Assumptions!F23&gt;0),Assumptions!G23*MIN(1,(30-Assumptions!F23+1)/MAX(Assumptions!H23,1)),0)+IF(AND(Assumptions!C24="Sales",Assumptions!F24&lt;=30,Assumptions!F24&gt;0),Assumptions!G24*MIN(1,(30-Assumptions!F24+1)/MAX(Assumptions!H24,1)),0)+IF(AND(Assumptions!C25="Sales",Assumptions!F25&lt;=30,Assumptions!F25&gt;0),Assumptions!G25*MIN(1,(30-Assumptions!F25+1)/MAX(Assumptions!H25,1)),0)+IF(AND(Assumptions!C26="Sales",Assumptions!F26&lt;=30,Assumptions!F26&gt;0),Assumptions!G26*MIN(1,(30-Assumptions!F26+1)/MAX(Assumptions!H26,1)),0)+IF(AND(Assumptions!C27="Sales",Assumptions!F27&lt;=30,Assumptions!F27&gt;0),Assumptions!G27*MIN(1,(30-Assumptions!F27+1)/MAX(Assumptions!H27,1)),0)+IF(AND(Assumptions!C28="Sales",Assumptions!F28&lt;=30,Assumptions!F28&gt;0),Assumptions!G28*MIN(1,(30-Assumptions!F28+1)/MAX(Assumptions!H28,1)),0)+IF(AND(Assumptions!C29="Sales",Assumptions!F29&lt;=30,Assumptions!F29&gt;0),Assumptions!G29*MIN(1,(30-Assumptions!F29+1)/MAX(Assumptions!H29,1)),0)</f>
        <v>25</v>
      </c>
      <c r="AI6" s="48">
        <f>IF(AND(Assumptions!C20="Sales",Assumptions!F20&lt;=31,Assumptions!F20&gt;0),Assumptions!G20*MIN(1,(31-Assumptions!F20+1)/MAX(Assumptions!H20,1)),0)+IF(AND(Assumptions!C21="Sales",Assumptions!F21&lt;=31,Assumptions!F21&gt;0),Assumptions!G21*MIN(1,(31-Assumptions!F21+1)/MAX(Assumptions!H21,1)),0)+IF(AND(Assumptions!C22="Sales",Assumptions!F22&lt;=31,Assumptions!F22&gt;0),Assumptions!G22*MIN(1,(31-Assumptions!F22+1)/MAX(Assumptions!H22,1)),0)+IF(AND(Assumptions!C23="Sales",Assumptions!F23&lt;=31,Assumptions!F23&gt;0),Assumptions!G23*MIN(1,(31-Assumptions!F23+1)/MAX(Assumptions!H23,1)),0)+IF(AND(Assumptions!C24="Sales",Assumptions!F24&lt;=31,Assumptions!F24&gt;0),Assumptions!G24*MIN(1,(31-Assumptions!F24+1)/MAX(Assumptions!H24,1)),0)+IF(AND(Assumptions!C25="Sales",Assumptions!F25&lt;=31,Assumptions!F25&gt;0),Assumptions!G25*MIN(1,(31-Assumptions!F25+1)/MAX(Assumptions!H25,1)),0)+IF(AND(Assumptions!C26="Sales",Assumptions!F26&lt;=31,Assumptions!F26&gt;0),Assumptions!G26*MIN(1,(31-Assumptions!F26+1)/MAX(Assumptions!H26,1)),0)+IF(AND(Assumptions!C27="Sales",Assumptions!F27&lt;=31,Assumptions!F27&gt;0),Assumptions!G27*MIN(1,(31-Assumptions!F27+1)/MAX(Assumptions!H27,1)),0)+IF(AND(Assumptions!C28="Sales",Assumptions!F28&lt;=31,Assumptions!F28&gt;0),Assumptions!G28*MIN(1,(31-Assumptions!F28+1)/MAX(Assumptions!H28,1)),0)+IF(AND(Assumptions!C29="Sales",Assumptions!F29&lt;=31,Assumptions!F29&gt;0),Assumptions!G29*MIN(1,(31-Assumptions!F29+1)/MAX(Assumptions!H29,1)),0)</f>
        <v>25</v>
      </c>
      <c r="AJ6" s="49">
        <f>IF(AND(Assumptions!C20="Sales",Assumptions!F20&lt;=32,Assumptions!F20&gt;0),Assumptions!G20*MIN(1,(32-Assumptions!F20+1)/MAX(Assumptions!H20,1)),0)+IF(AND(Assumptions!C21="Sales",Assumptions!F21&lt;=32,Assumptions!F21&gt;0),Assumptions!G21*MIN(1,(32-Assumptions!F21+1)/MAX(Assumptions!H21,1)),0)+IF(AND(Assumptions!C22="Sales",Assumptions!F22&lt;=32,Assumptions!F22&gt;0),Assumptions!G22*MIN(1,(32-Assumptions!F22+1)/MAX(Assumptions!H22,1)),0)+IF(AND(Assumptions!C23="Sales",Assumptions!F23&lt;=32,Assumptions!F23&gt;0),Assumptions!G23*MIN(1,(32-Assumptions!F23+1)/MAX(Assumptions!H23,1)),0)+IF(AND(Assumptions!C24="Sales",Assumptions!F24&lt;=32,Assumptions!F24&gt;0),Assumptions!G24*MIN(1,(32-Assumptions!F24+1)/MAX(Assumptions!H24,1)),0)+IF(AND(Assumptions!C25="Sales",Assumptions!F25&lt;=32,Assumptions!F25&gt;0),Assumptions!G25*MIN(1,(32-Assumptions!F25+1)/MAX(Assumptions!H25,1)),0)+IF(AND(Assumptions!C26="Sales",Assumptions!F26&lt;=32,Assumptions!F26&gt;0),Assumptions!G26*MIN(1,(32-Assumptions!F26+1)/MAX(Assumptions!H26,1)),0)+IF(AND(Assumptions!C27="Sales",Assumptions!F27&lt;=32,Assumptions!F27&gt;0),Assumptions!G27*MIN(1,(32-Assumptions!F27+1)/MAX(Assumptions!H27,1)),0)+IF(AND(Assumptions!C28="Sales",Assumptions!F28&lt;=32,Assumptions!F28&gt;0),Assumptions!G28*MIN(1,(32-Assumptions!F28+1)/MAX(Assumptions!H28,1)),0)+IF(AND(Assumptions!C29="Sales",Assumptions!F29&lt;=32,Assumptions!F29&gt;0),Assumptions!G29*MIN(1,(32-Assumptions!F29+1)/MAX(Assumptions!H29,1)),0)</f>
        <v>25</v>
      </c>
      <c r="AK6" s="48">
        <f>IF(AND(Assumptions!C20="Sales",Assumptions!F20&lt;=33,Assumptions!F20&gt;0),Assumptions!G20*MIN(1,(33-Assumptions!F20+1)/MAX(Assumptions!H20,1)),0)+IF(AND(Assumptions!C21="Sales",Assumptions!F21&lt;=33,Assumptions!F21&gt;0),Assumptions!G21*MIN(1,(33-Assumptions!F21+1)/MAX(Assumptions!H21,1)),0)+IF(AND(Assumptions!C22="Sales",Assumptions!F22&lt;=33,Assumptions!F22&gt;0),Assumptions!G22*MIN(1,(33-Assumptions!F22+1)/MAX(Assumptions!H22,1)),0)+IF(AND(Assumptions!C23="Sales",Assumptions!F23&lt;=33,Assumptions!F23&gt;0),Assumptions!G23*MIN(1,(33-Assumptions!F23+1)/MAX(Assumptions!H23,1)),0)+IF(AND(Assumptions!C24="Sales",Assumptions!F24&lt;=33,Assumptions!F24&gt;0),Assumptions!G24*MIN(1,(33-Assumptions!F24+1)/MAX(Assumptions!H24,1)),0)+IF(AND(Assumptions!C25="Sales",Assumptions!F25&lt;=33,Assumptions!F25&gt;0),Assumptions!G25*MIN(1,(33-Assumptions!F25+1)/MAX(Assumptions!H25,1)),0)+IF(AND(Assumptions!C26="Sales",Assumptions!F26&lt;=33,Assumptions!F26&gt;0),Assumptions!G26*MIN(1,(33-Assumptions!F26+1)/MAX(Assumptions!H26,1)),0)+IF(AND(Assumptions!C27="Sales",Assumptions!F27&lt;=33,Assumptions!F27&gt;0),Assumptions!G27*MIN(1,(33-Assumptions!F27+1)/MAX(Assumptions!H27,1)),0)+IF(AND(Assumptions!C28="Sales",Assumptions!F28&lt;=33,Assumptions!F28&gt;0),Assumptions!G28*MIN(1,(33-Assumptions!F28+1)/MAX(Assumptions!H28,1)),0)+IF(AND(Assumptions!C29="Sales",Assumptions!F29&lt;=33,Assumptions!F29&gt;0),Assumptions!G29*MIN(1,(33-Assumptions!F29+1)/MAX(Assumptions!H29,1)),0)</f>
        <v>25</v>
      </c>
      <c r="AL6" s="49">
        <f>IF(AND(Assumptions!C20="Sales",Assumptions!F20&lt;=34,Assumptions!F20&gt;0),Assumptions!G20*MIN(1,(34-Assumptions!F20+1)/MAX(Assumptions!H20,1)),0)+IF(AND(Assumptions!C21="Sales",Assumptions!F21&lt;=34,Assumptions!F21&gt;0),Assumptions!G21*MIN(1,(34-Assumptions!F21+1)/MAX(Assumptions!H21,1)),0)+IF(AND(Assumptions!C22="Sales",Assumptions!F22&lt;=34,Assumptions!F22&gt;0),Assumptions!G22*MIN(1,(34-Assumptions!F22+1)/MAX(Assumptions!H22,1)),0)+IF(AND(Assumptions!C23="Sales",Assumptions!F23&lt;=34,Assumptions!F23&gt;0),Assumptions!G23*MIN(1,(34-Assumptions!F23+1)/MAX(Assumptions!H23,1)),0)+IF(AND(Assumptions!C24="Sales",Assumptions!F24&lt;=34,Assumptions!F24&gt;0),Assumptions!G24*MIN(1,(34-Assumptions!F24+1)/MAX(Assumptions!H24,1)),0)+IF(AND(Assumptions!C25="Sales",Assumptions!F25&lt;=34,Assumptions!F25&gt;0),Assumptions!G25*MIN(1,(34-Assumptions!F25+1)/MAX(Assumptions!H25,1)),0)+IF(AND(Assumptions!C26="Sales",Assumptions!F26&lt;=34,Assumptions!F26&gt;0),Assumptions!G26*MIN(1,(34-Assumptions!F26+1)/MAX(Assumptions!H26,1)),0)+IF(AND(Assumptions!C27="Sales",Assumptions!F27&lt;=34,Assumptions!F27&gt;0),Assumptions!G27*MIN(1,(34-Assumptions!F27+1)/MAX(Assumptions!H27,1)),0)+IF(AND(Assumptions!C28="Sales",Assumptions!F28&lt;=34,Assumptions!F28&gt;0),Assumptions!G28*MIN(1,(34-Assumptions!F28+1)/MAX(Assumptions!H28,1)),0)+IF(AND(Assumptions!C29="Sales",Assumptions!F29&lt;=34,Assumptions!F29&gt;0),Assumptions!G29*MIN(1,(34-Assumptions!F29+1)/MAX(Assumptions!H29,1)),0)</f>
        <v>25</v>
      </c>
      <c r="AM6" s="48">
        <f>IF(AND(Assumptions!C20="Sales",Assumptions!F20&lt;=35,Assumptions!F20&gt;0),Assumptions!G20*MIN(1,(35-Assumptions!F20+1)/MAX(Assumptions!H20,1)),0)+IF(AND(Assumptions!C21="Sales",Assumptions!F21&lt;=35,Assumptions!F21&gt;0),Assumptions!G21*MIN(1,(35-Assumptions!F21+1)/MAX(Assumptions!H21,1)),0)+IF(AND(Assumptions!C22="Sales",Assumptions!F22&lt;=35,Assumptions!F22&gt;0),Assumptions!G22*MIN(1,(35-Assumptions!F22+1)/MAX(Assumptions!H22,1)),0)+IF(AND(Assumptions!C23="Sales",Assumptions!F23&lt;=35,Assumptions!F23&gt;0),Assumptions!G23*MIN(1,(35-Assumptions!F23+1)/MAX(Assumptions!H23,1)),0)+IF(AND(Assumptions!C24="Sales",Assumptions!F24&lt;=35,Assumptions!F24&gt;0),Assumptions!G24*MIN(1,(35-Assumptions!F24+1)/MAX(Assumptions!H24,1)),0)+IF(AND(Assumptions!C25="Sales",Assumptions!F25&lt;=35,Assumptions!F25&gt;0),Assumptions!G25*MIN(1,(35-Assumptions!F25+1)/MAX(Assumptions!H25,1)),0)+IF(AND(Assumptions!C26="Sales",Assumptions!F26&lt;=35,Assumptions!F26&gt;0),Assumptions!G26*MIN(1,(35-Assumptions!F26+1)/MAX(Assumptions!H26,1)),0)+IF(AND(Assumptions!C27="Sales",Assumptions!F27&lt;=35,Assumptions!F27&gt;0),Assumptions!G27*MIN(1,(35-Assumptions!F27+1)/MAX(Assumptions!H27,1)),0)+IF(AND(Assumptions!C28="Sales",Assumptions!F28&lt;=35,Assumptions!F28&gt;0),Assumptions!G28*MIN(1,(35-Assumptions!F28+1)/MAX(Assumptions!H28,1)),0)+IF(AND(Assumptions!C29="Sales",Assumptions!F29&lt;=35,Assumptions!F29&gt;0),Assumptions!G29*MIN(1,(35-Assumptions!F29+1)/MAX(Assumptions!H29,1)),0)</f>
        <v>25</v>
      </c>
      <c r="AN6" s="49">
        <f>IF(AND(Assumptions!C20="Sales",Assumptions!F20&lt;=36,Assumptions!F20&gt;0),Assumptions!G20*MIN(1,(36-Assumptions!F20+1)/MAX(Assumptions!H20,1)),0)+IF(AND(Assumptions!C21="Sales",Assumptions!F21&lt;=36,Assumptions!F21&gt;0),Assumptions!G21*MIN(1,(36-Assumptions!F21+1)/MAX(Assumptions!H21,1)),0)+IF(AND(Assumptions!C22="Sales",Assumptions!F22&lt;=36,Assumptions!F22&gt;0),Assumptions!G22*MIN(1,(36-Assumptions!F22+1)/MAX(Assumptions!H22,1)),0)+IF(AND(Assumptions!C23="Sales",Assumptions!F23&lt;=36,Assumptions!F23&gt;0),Assumptions!G23*MIN(1,(36-Assumptions!F23+1)/MAX(Assumptions!H23,1)),0)+IF(AND(Assumptions!C24="Sales",Assumptions!F24&lt;=36,Assumptions!F24&gt;0),Assumptions!G24*MIN(1,(36-Assumptions!F24+1)/MAX(Assumptions!H24,1)),0)+IF(AND(Assumptions!C25="Sales",Assumptions!F25&lt;=36,Assumptions!F25&gt;0),Assumptions!G25*MIN(1,(36-Assumptions!F25+1)/MAX(Assumptions!H25,1)),0)+IF(AND(Assumptions!C26="Sales",Assumptions!F26&lt;=36,Assumptions!F26&gt;0),Assumptions!G26*MIN(1,(36-Assumptions!F26+1)/MAX(Assumptions!H26,1)),0)+IF(AND(Assumptions!C27="Sales",Assumptions!F27&lt;=36,Assumptions!F27&gt;0),Assumptions!G27*MIN(1,(36-Assumptions!F27+1)/MAX(Assumptions!H27,1)),0)+IF(AND(Assumptions!C28="Sales",Assumptions!F28&lt;=36,Assumptions!F28&gt;0),Assumptions!G28*MIN(1,(36-Assumptions!F28+1)/MAX(Assumptions!H28,1)),0)+IF(AND(Assumptions!C29="Sales",Assumptions!F29&lt;=36,Assumptions!F29&gt;0),Assumptions!G29*MIN(1,(36-Assumptions!F29+1)/MAX(Assumptions!H29,1)),0)</f>
        <v>25</v>
      </c>
      <c r="AO6" s="50">
        <f>SUM(AC6:AN6)</f>
        <v>300</v>
      </c>
      <c r="AP6" s="48">
        <f>IF(AND(Assumptions!C20="Sales",Assumptions!F20&lt;=37,Assumptions!F20&gt;0),Assumptions!G20*MIN(1,(37-Assumptions!F20+1)/MAX(Assumptions!H20,1)),0)+IF(AND(Assumptions!C21="Sales",Assumptions!F21&lt;=37,Assumptions!F21&gt;0),Assumptions!G21*MIN(1,(37-Assumptions!F21+1)/MAX(Assumptions!H21,1)),0)+IF(AND(Assumptions!C22="Sales",Assumptions!F22&lt;=37,Assumptions!F22&gt;0),Assumptions!G22*MIN(1,(37-Assumptions!F22+1)/MAX(Assumptions!H22,1)),0)+IF(AND(Assumptions!C23="Sales",Assumptions!F23&lt;=37,Assumptions!F23&gt;0),Assumptions!G23*MIN(1,(37-Assumptions!F23+1)/MAX(Assumptions!H23,1)),0)+IF(AND(Assumptions!C24="Sales",Assumptions!F24&lt;=37,Assumptions!F24&gt;0),Assumptions!G24*MIN(1,(37-Assumptions!F24+1)/MAX(Assumptions!H24,1)),0)+IF(AND(Assumptions!C25="Sales",Assumptions!F25&lt;=37,Assumptions!F25&gt;0),Assumptions!G25*MIN(1,(37-Assumptions!F25+1)/MAX(Assumptions!H25,1)),0)+IF(AND(Assumptions!C26="Sales",Assumptions!F26&lt;=37,Assumptions!F26&gt;0),Assumptions!G26*MIN(1,(37-Assumptions!F26+1)/MAX(Assumptions!H26,1)),0)+IF(AND(Assumptions!C27="Sales",Assumptions!F27&lt;=37,Assumptions!F27&gt;0),Assumptions!G27*MIN(1,(37-Assumptions!F27+1)/MAX(Assumptions!H27,1)),0)+IF(AND(Assumptions!C28="Sales",Assumptions!F28&lt;=37,Assumptions!F28&gt;0),Assumptions!G28*MIN(1,(37-Assumptions!F28+1)/MAX(Assumptions!H28,1)),0)+IF(AND(Assumptions!C29="Sales",Assumptions!F29&lt;=37,Assumptions!F29&gt;0),Assumptions!G29*MIN(1,(37-Assumptions!F29+1)/MAX(Assumptions!H29,1)),0)</f>
        <v>25</v>
      </c>
      <c r="AQ6" s="49">
        <f>IF(AND(Assumptions!C20="Sales",Assumptions!F20&lt;=38,Assumptions!F20&gt;0),Assumptions!G20*MIN(1,(38-Assumptions!F20+1)/MAX(Assumptions!H20,1)),0)+IF(AND(Assumptions!C21="Sales",Assumptions!F21&lt;=38,Assumptions!F21&gt;0),Assumptions!G21*MIN(1,(38-Assumptions!F21+1)/MAX(Assumptions!H21,1)),0)+IF(AND(Assumptions!C22="Sales",Assumptions!F22&lt;=38,Assumptions!F22&gt;0),Assumptions!G22*MIN(1,(38-Assumptions!F22+1)/MAX(Assumptions!H22,1)),0)+IF(AND(Assumptions!C23="Sales",Assumptions!F23&lt;=38,Assumptions!F23&gt;0),Assumptions!G23*MIN(1,(38-Assumptions!F23+1)/MAX(Assumptions!H23,1)),0)+IF(AND(Assumptions!C24="Sales",Assumptions!F24&lt;=38,Assumptions!F24&gt;0),Assumptions!G24*MIN(1,(38-Assumptions!F24+1)/MAX(Assumptions!H24,1)),0)+IF(AND(Assumptions!C25="Sales",Assumptions!F25&lt;=38,Assumptions!F25&gt;0),Assumptions!G25*MIN(1,(38-Assumptions!F25+1)/MAX(Assumptions!H25,1)),0)+IF(AND(Assumptions!C26="Sales",Assumptions!F26&lt;=38,Assumptions!F26&gt;0),Assumptions!G26*MIN(1,(38-Assumptions!F26+1)/MAX(Assumptions!H26,1)),0)+IF(AND(Assumptions!C27="Sales",Assumptions!F27&lt;=38,Assumptions!F27&gt;0),Assumptions!G27*MIN(1,(38-Assumptions!F27+1)/MAX(Assumptions!H27,1)),0)+IF(AND(Assumptions!C28="Sales",Assumptions!F28&lt;=38,Assumptions!F28&gt;0),Assumptions!G28*MIN(1,(38-Assumptions!F28+1)/MAX(Assumptions!H28,1)),0)+IF(AND(Assumptions!C29="Sales",Assumptions!F29&lt;=38,Assumptions!F29&gt;0),Assumptions!G29*MIN(1,(38-Assumptions!F29+1)/MAX(Assumptions!H29,1)),0)</f>
        <v>25</v>
      </c>
      <c r="AR6" s="48">
        <f>IF(AND(Assumptions!C20="Sales",Assumptions!F20&lt;=39,Assumptions!F20&gt;0),Assumptions!G20*MIN(1,(39-Assumptions!F20+1)/MAX(Assumptions!H20,1)),0)+IF(AND(Assumptions!C21="Sales",Assumptions!F21&lt;=39,Assumptions!F21&gt;0),Assumptions!G21*MIN(1,(39-Assumptions!F21+1)/MAX(Assumptions!H21,1)),0)+IF(AND(Assumptions!C22="Sales",Assumptions!F22&lt;=39,Assumptions!F22&gt;0),Assumptions!G22*MIN(1,(39-Assumptions!F22+1)/MAX(Assumptions!H22,1)),0)+IF(AND(Assumptions!C23="Sales",Assumptions!F23&lt;=39,Assumptions!F23&gt;0),Assumptions!G23*MIN(1,(39-Assumptions!F23+1)/MAX(Assumptions!H23,1)),0)+IF(AND(Assumptions!C24="Sales",Assumptions!F24&lt;=39,Assumptions!F24&gt;0),Assumptions!G24*MIN(1,(39-Assumptions!F24+1)/MAX(Assumptions!H24,1)),0)+IF(AND(Assumptions!C25="Sales",Assumptions!F25&lt;=39,Assumptions!F25&gt;0),Assumptions!G25*MIN(1,(39-Assumptions!F25+1)/MAX(Assumptions!H25,1)),0)+IF(AND(Assumptions!C26="Sales",Assumptions!F26&lt;=39,Assumptions!F26&gt;0),Assumptions!G26*MIN(1,(39-Assumptions!F26+1)/MAX(Assumptions!H26,1)),0)+IF(AND(Assumptions!C27="Sales",Assumptions!F27&lt;=39,Assumptions!F27&gt;0),Assumptions!G27*MIN(1,(39-Assumptions!F27+1)/MAX(Assumptions!H27,1)),0)+IF(AND(Assumptions!C28="Sales",Assumptions!F28&lt;=39,Assumptions!F28&gt;0),Assumptions!G28*MIN(1,(39-Assumptions!F28+1)/MAX(Assumptions!H28,1)),0)+IF(AND(Assumptions!C29="Sales",Assumptions!F29&lt;=39,Assumptions!F29&gt;0),Assumptions!G29*MIN(1,(39-Assumptions!F29+1)/MAX(Assumptions!H29,1)),0)</f>
        <v>25</v>
      </c>
      <c r="AS6" s="49">
        <f>IF(AND(Assumptions!C20="Sales",Assumptions!F20&lt;=40,Assumptions!F20&gt;0),Assumptions!G20*MIN(1,(40-Assumptions!F20+1)/MAX(Assumptions!H20,1)),0)+IF(AND(Assumptions!C21="Sales",Assumptions!F21&lt;=40,Assumptions!F21&gt;0),Assumptions!G21*MIN(1,(40-Assumptions!F21+1)/MAX(Assumptions!H21,1)),0)+IF(AND(Assumptions!C22="Sales",Assumptions!F22&lt;=40,Assumptions!F22&gt;0),Assumptions!G22*MIN(1,(40-Assumptions!F22+1)/MAX(Assumptions!H22,1)),0)+IF(AND(Assumptions!C23="Sales",Assumptions!F23&lt;=40,Assumptions!F23&gt;0),Assumptions!G23*MIN(1,(40-Assumptions!F23+1)/MAX(Assumptions!H23,1)),0)+IF(AND(Assumptions!C24="Sales",Assumptions!F24&lt;=40,Assumptions!F24&gt;0),Assumptions!G24*MIN(1,(40-Assumptions!F24+1)/MAX(Assumptions!H24,1)),0)+IF(AND(Assumptions!C25="Sales",Assumptions!F25&lt;=40,Assumptions!F25&gt;0),Assumptions!G25*MIN(1,(40-Assumptions!F25+1)/MAX(Assumptions!H25,1)),0)+IF(AND(Assumptions!C26="Sales",Assumptions!F26&lt;=40,Assumptions!F26&gt;0),Assumptions!G26*MIN(1,(40-Assumptions!F26+1)/MAX(Assumptions!H26,1)),0)+IF(AND(Assumptions!C27="Sales",Assumptions!F27&lt;=40,Assumptions!F27&gt;0),Assumptions!G27*MIN(1,(40-Assumptions!F27+1)/MAX(Assumptions!H27,1)),0)+IF(AND(Assumptions!C28="Sales",Assumptions!F28&lt;=40,Assumptions!F28&gt;0),Assumptions!G28*MIN(1,(40-Assumptions!F28+1)/MAX(Assumptions!H28,1)),0)+IF(AND(Assumptions!C29="Sales",Assumptions!F29&lt;=40,Assumptions!F29&gt;0),Assumptions!G29*MIN(1,(40-Assumptions!F29+1)/MAX(Assumptions!H29,1)),0)</f>
        <v>25</v>
      </c>
      <c r="AT6" s="48">
        <f>IF(AND(Assumptions!C20="Sales",Assumptions!F20&lt;=41,Assumptions!F20&gt;0),Assumptions!G20*MIN(1,(41-Assumptions!F20+1)/MAX(Assumptions!H20,1)),0)+IF(AND(Assumptions!C21="Sales",Assumptions!F21&lt;=41,Assumptions!F21&gt;0),Assumptions!G21*MIN(1,(41-Assumptions!F21+1)/MAX(Assumptions!H21,1)),0)+IF(AND(Assumptions!C22="Sales",Assumptions!F22&lt;=41,Assumptions!F22&gt;0),Assumptions!G22*MIN(1,(41-Assumptions!F22+1)/MAX(Assumptions!H22,1)),0)+IF(AND(Assumptions!C23="Sales",Assumptions!F23&lt;=41,Assumptions!F23&gt;0),Assumptions!G23*MIN(1,(41-Assumptions!F23+1)/MAX(Assumptions!H23,1)),0)+IF(AND(Assumptions!C24="Sales",Assumptions!F24&lt;=41,Assumptions!F24&gt;0),Assumptions!G24*MIN(1,(41-Assumptions!F24+1)/MAX(Assumptions!H24,1)),0)+IF(AND(Assumptions!C25="Sales",Assumptions!F25&lt;=41,Assumptions!F25&gt;0),Assumptions!G25*MIN(1,(41-Assumptions!F25+1)/MAX(Assumptions!H25,1)),0)+IF(AND(Assumptions!C26="Sales",Assumptions!F26&lt;=41,Assumptions!F26&gt;0),Assumptions!G26*MIN(1,(41-Assumptions!F26+1)/MAX(Assumptions!H26,1)),0)+IF(AND(Assumptions!C27="Sales",Assumptions!F27&lt;=41,Assumptions!F27&gt;0),Assumptions!G27*MIN(1,(41-Assumptions!F27+1)/MAX(Assumptions!H27,1)),0)+IF(AND(Assumptions!C28="Sales",Assumptions!F28&lt;=41,Assumptions!F28&gt;0),Assumptions!G28*MIN(1,(41-Assumptions!F28+1)/MAX(Assumptions!H28,1)),0)+IF(AND(Assumptions!C29="Sales",Assumptions!F29&lt;=41,Assumptions!F29&gt;0),Assumptions!G29*MIN(1,(41-Assumptions!F29+1)/MAX(Assumptions!H29,1)),0)</f>
        <v>25</v>
      </c>
      <c r="AU6" s="49">
        <f>IF(AND(Assumptions!C20="Sales",Assumptions!F20&lt;=42,Assumptions!F20&gt;0),Assumptions!G20*MIN(1,(42-Assumptions!F20+1)/MAX(Assumptions!H20,1)),0)+IF(AND(Assumptions!C21="Sales",Assumptions!F21&lt;=42,Assumptions!F21&gt;0),Assumptions!G21*MIN(1,(42-Assumptions!F21+1)/MAX(Assumptions!H21,1)),0)+IF(AND(Assumptions!C22="Sales",Assumptions!F22&lt;=42,Assumptions!F22&gt;0),Assumptions!G22*MIN(1,(42-Assumptions!F22+1)/MAX(Assumptions!H22,1)),0)+IF(AND(Assumptions!C23="Sales",Assumptions!F23&lt;=42,Assumptions!F23&gt;0),Assumptions!G23*MIN(1,(42-Assumptions!F23+1)/MAX(Assumptions!H23,1)),0)+IF(AND(Assumptions!C24="Sales",Assumptions!F24&lt;=42,Assumptions!F24&gt;0),Assumptions!G24*MIN(1,(42-Assumptions!F24+1)/MAX(Assumptions!H24,1)),0)+IF(AND(Assumptions!C25="Sales",Assumptions!F25&lt;=42,Assumptions!F25&gt;0),Assumptions!G25*MIN(1,(42-Assumptions!F25+1)/MAX(Assumptions!H25,1)),0)+IF(AND(Assumptions!C26="Sales",Assumptions!F26&lt;=42,Assumptions!F26&gt;0),Assumptions!G26*MIN(1,(42-Assumptions!F26+1)/MAX(Assumptions!H26,1)),0)+IF(AND(Assumptions!C27="Sales",Assumptions!F27&lt;=42,Assumptions!F27&gt;0),Assumptions!G27*MIN(1,(42-Assumptions!F27+1)/MAX(Assumptions!H27,1)),0)+IF(AND(Assumptions!C28="Sales",Assumptions!F28&lt;=42,Assumptions!F28&gt;0),Assumptions!G28*MIN(1,(42-Assumptions!F28+1)/MAX(Assumptions!H28,1)),0)+IF(AND(Assumptions!C29="Sales",Assumptions!F29&lt;=42,Assumptions!F29&gt;0),Assumptions!G29*MIN(1,(42-Assumptions!F29+1)/MAX(Assumptions!H29,1)),0)</f>
        <v>25</v>
      </c>
      <c r="AV6" s="48">
        <f>IF(AND(Assumptions!C20="Sales",Assumptions!F20&lt;=43,Assumptions!F20&gt;0),Assumptions!G20*MIN(1,(43-Assumptions!F20+1)/MAX(Assumptions!H20,1)),0)+IF(AND(Assumptions!C21="Sales",Assumptions!F21&lt;=43,Assumptions!F21&gt;0),Assumptions!G21*MIN(1,(43-Assumptions!F21+1)/MAX(Assumptions!H21,1)),0)+IF(AND(Assumptions!C22="Sales",Assumptions!F22&lt;=43,Assumptions!F22&gt;0),Assumptions!G22*MIN(1,(43-Assumptions!F22+1)/MAX(Assumptions!H22,1)),0)+IF(AND(Assumptions!C23="Sales",Assumptions!F23&lt;=43,Assumptions!F23&gt;0),Assumptions!G23*MIN(1,(43-Assumptions!F23+1)/MAX(Assumptions!H23,1)),0)+IF(AND(Assumptions!C24="Sales",Assumptions!F24&lt;=43,Assumptions!F24&gt;0),Assumptions!G24*MIN(1,(43-Assumptions!F24+1)/MAX(Assumptions!H24,1)),0)+IF(AND(Assumptions!C25="Sales",Assumptions!F25&lt;=43,Assumptions!F25&gt;0),Assumptions!G25*MIN(1,(43-Assumptions!F25+1)/MAX(Assumptions!H25,1)),0)+IF(AND(Assumptions!C26="Sales",Assumptions!F26&lt;=43,Assumptions!F26&gt;0),Assumptions!G26*MIN(1,(43-Assumptions!F26+1)/MAX(Assumptions!H26,1)),0)+IF(AND(Assumptions!C27="Sales",Assumptions!F27&lt;=43,Assumptions!F27&gt;0),Assumptions!G27*MIN(1,(43-Assumptions!F27+1)/MAX(Assumptions!H27,1)),0)+IF(AND(Assumptions!C28="Sales",Assumptions!F28&lt;=43,Assumptions!F28&gt;0),Assumptions!G28*MIN(1,(43-Assumptions!F28+1)/MAX(Assumptions!H28,1)),0)+IF(AND(Assumptions!C29="Sales",Assumptions!F29&lt;=43,Assumptions!F29&gt;0),Assumptions!G29*MIN(1,(43-Assumptions!F29+1)/MAX(Assumptions!H29,1)),0)</f>
        <v>25</v>
      </c>
      <c r="AW6" s="49">
        <f>IF(AND(Assumptions!C20="Sales",Assumptions!F20&lt;=44,Assumptions!F20&gt;0),Assumptions!G20*MIN(1,(44-Assumptions!F20+1)/MAX(Assumptions!H20,1)),0)+IF(AND(Assumptions!C21="Sales",Assumptions!F21&lt;=44,Assumptions!F21&gt;0),Assumptions!G21*MIN(1,(44-Assumptions!F21+1)/MAX(Assumptions!H21,1)),0)+IF(AND(Assumptions!C22="Sales",Assumptions!F22&lt;=44,Assumptions!F22&gt;0),Assumptions!G22*MIN(1,(44-Assumptions!F22+1)/MAX(Assumptions!H22,1)),0)+IF(AND(Assumptions!C23="Sales",Assumptions!F23&lt;=44,Assumptions!F23&gt;0),Assumptions!G23*MIN(1,(44-Assumptions!F23+1)/MAX(Assumptions!H23,1)),0)+IF(AND(Assumptions!C24="Sales",Assumptions!F24&lt;=44,Assumptions!F24&gt;0),Assumptions!G24*MIN(1,(44-Assumptions!F24+1)/MAX(Assumptions!H24,1)),0)+IF(AND(Assumptions!C25="Sales",Assumptions!F25&lt;=44,Assumptions!F25&gt;0),Assumptions!G25*MIN(1,(44-Assumptions!F25+1)/MAX(Assumptions!H25,1)),0)+IF(AND(Assumptions!C26="Sales",Assumptions!F26&lt;=44,Assumptions!F26&gt;0),Assumptions!G26*MIN(1,(44-Assumptions!F26+1)/MAX(Assumptions!H26,1)),0)+IF(AND(Assumptions!C27="Sales",Assumptions!F27&lt;=44,Assumptions!F27&gt;0),Assumptions!G27*MIN(1,(44-Assumptions!F27+1)/MAX(Assumptions!H27,1)),0)+IF(AND(Assumptions!C28="Sales",Assumptions!F28&lt;=44,Assumptions!F28&gt;0),Assumptions!G28*MIN(1,(44-Assumptions!F28+1)/MAX(Assumptions!H28,1)),0)+IF(AND(Assumptions!C29="Sales",Assumptions!F29&lt;=44,Assumptions!F29&gt;0),Assumptions!G29*MIN(1,(44-Assumptions!F29+1)/MAX(Assumptions!H29,1)),0)</f>
        <v>25</v>
      </c>
      <c r="AX6" s="48">
        <f>IF(AND(Assumptions!C20="Sales",Assumptions!F20&lt;=45,Assumptions!F20&gt;0),Assumptions!G20*MIN(1,(45-Assumptions!F20+1)/MAX(Assumptions!H20,1)),0)+IF(AND(Assumptions!C21="Sales",Assumptions!F21&lt;=45,Assumptions!F21&gt;0),Assumptions!G21*MIN(1,(45-Assumptions!F21+1)/MAX(Assumptions!H21,1)),0)+IF(AND(Assumptions!C22="Sales",Assumptions!F22&lt;=45,Assumptions!F22&gt;0),Assumptions!G22*MIN(1,(45-Assumptions!F22+1)/MAX(Assumptions!H22,1)),0)+IF(AND(Assumptions!C23="Sales",Assumptions!F23&lt;=45,Assumptions!F23&gt;0),Assumptions!G23*MIN(1,(45-Assumptions!F23+1)/MAX(Assumptions!H23,1)),0)+IF(AND(Assumptions!C24="Sales",Assumptions!F24&lt;=45,Assumptions!F24&gt;0),Assumptions!G24*MIN(1,(45-Assumptions!F24+1)/MAX(Assumptions!H24,1)),0)+IF(AND(Assumptions!C25="Sales",Assumptions!F25&lt;=45,Assumptions!F25&gt;0),Assumptions!G25*MIN(1,(45-Assumptions!F25+1)/MAX(Assumptions!H25,1)),0)+IF(AND(Assumptions!C26="Sales",Assumptions!F26&lt;=45,Assumptions!F26&gt;0),Assumptions!G26*MIN(1,(45-Assumptions!F26+1)/MAX(Assumptions!H26,1)),0)+IF(AND(Assumptions!C27="Sales",Assumptions!F27&lt;=45,Assumptions!F27&gt;0),Assumptions!G27*MIN(1,(45-Assumptions!F27+1)/MAX(Assumptions!H27,1)),0)+IF(AND(Assumptions!C28="Sales",Assumptions!F28&lt;=45,Assumptions!F28&gt;0),Assumptions!G28*MIN(1,(45-Assumptions!F28+1)/MAX(Assumptions!H28,1)),0)+IF(AND(Assumptions!C29="Sales",Assumptions!F29&lt;=45,Assumptions!F29&gt;0),Assumptions!G29*MIN(1,(45-Assumptions!F29+1)/MAX(Assumptions!H29,1)),0)</f>
        <v>25</v>
      </c>
      <c r="AY6" s="49">
        <f>IF(AND(Assumptions!C20="Sales",Assumptions!F20&lt;=46,Assumptions!F20&gt;0),Assumptions!G20*MIN(1,(46-Assumptions!F20+1)/MAX(Assumptions!H20,1)),0)+IF(AND(Assumptions!C21="Sales",Assumptions!F21&lt;=46,Assumptions!F21&gt;0),Assumptions!G21*MIN(1,(46-Assumptions!F21+1)/MAX(Assumptions!H21,1)),0)+IF(AND(Assumptions!C22="Sales",Assumptions!F22&lt;=46,Assumptions!F22&gt;0),Assumptions!G22*MIN(1,(46-Assumptions!F22+1)/MAX(Assumptions!H22,1)),0)+IF(AND(Assumptions!C23="Sales",Assumptions!F23&lt;=46,Assumptions!F23&gt;0),Assumptions!G23*MIN(1,(46-Assumptions!F23+1)/MAX(Assumptions!H23,1)),0)+IF(AND(Assumptions!C24="Sales",Assumptions!F24&lt;=46,Assumptions!F24&gt;0),Assumptions!G24*MIN(1,(46-Assumptions!F24+1)/MAX(Assumptions!H24,1)),0)+IF(AND(Assumptions!C25="Sales",Assumptions!F25&lt;=46,Assumptions!F25&gt;0),Assumptions!G25*MIN(1,(46-Assumptions!F25+1)/MAX(Assumptions!H25,1)),0)+IF(AND(Assumptions!C26="Sales",Assumptions!F26&lt;=46,Assumptions!F26&gt;0),Assumptions!G26*MIN(1,(46-Assumptions!F26+1)/MAX(Assumptions!H26,1)),0)+IF(AND(Assumptions!C27="Sales",Assumptions!F27&lt;=46,Assumptions!F27&gt;0),Assumptions!G27*MIN(1,(46-Assumptions!F27+1)/MAX(Assumptions!H27,1)),0)+IF(AND(Assumptions!C28="Sales",Assumptions!F28&lt;=46,Assumptions!F28&gt;0),Assumptions!G28*MIN(1,(46-Assumptions!F28+1)/MAX(Assumptions!H28,1)),0)+IF(AND(Assumptions!C29="Sales",Assumptions!F29&lt;=46,Assumptions!F29&gt;0),Assumptions!G29*MIN(1,(46-Assumptions!F29+1)/MAX(Assumptions!H29,1)),0)</f>
        <v>25</v>
      </c>
      <c r="AZ6" s="48">
        <f>IF(AND(Assumptions!C20="Sales",Assumptions!F20&lt;=47,Assumptions!F20&gt;0),Assumptions!G20*MIN(1,(47-Assumptions!F20+1)/MAX(Assumptions!H20,1)),0)+IF(AND(Assumptions!C21="Sales",Assumptions!F21&lt;=47,Assumptions!F21&gt;0),Assumptions!G21*MIN(1,(47-Assumptions!F21+1)/MAX(Assumptions!H21,1)),0)+IF(AND(Assumptions!C22="Sales",Assumptions!F22&lt;=47,Assumptions!F22&gt;0),Assumptions!G22*MIN(1,(47-Assumptions!F22+1)/MAX(Assumptions!H22,1)),0)+IF(AND(Assumptions!C23="Sales",Assumptions!F23&lt;=47,Assumptions!F23&gt;0),Assumptions!G23*MIN(1,(47-Assumptions!F23+1)/MAX(Assumptions!H23,1)),0)+IF(AND(Assumptions!C24="Sales",Assumptions!F24&lt;=47,Assumptions!F24&gt;0),Assumptions!G24*MIN(1,(47-Assumptions!F24+1)/MAX(Assumptions!H24,1)),0)+IF(AND(Assumptions!C25="Sales",Assumptions!F25&lt;=47,Assumptions!F25&gt;0),Assumptions!G25*MIN(1,(47-Assumptions!F25+1)/MAX(Assumptions!H25,1)),0)+IF(AND(Assumptions!C26="Sales",Assumptions!F26&lt;=47,Assumptions!F26&gt;0),Assumptions!G26*MIN(1,(47-Assumptions!F26+1)/MAX(Assumptions!H26,1)),0)+IF(AND(Assumptions!C27="Sales",Assumptions!F27&lt;=47,Assumptions!F27&gt;0),Assumptions!G27*MIN(1,(47-Assumptions!F27+1)/MAX(Assumptions!H27,1)),0)+IF(AND(Assumptions!C28="Sales",Assumptions!F28&lt;=47,Assumptions!F28&gt;0),Assumptions!G28*MIN(1,(47-Assumptions!F28+1)/MAX(Assumptions!H28,1)),0)+IF(AND(Assumptions!C29="Sales",Assumptions!F29&lt;=47,Assumptions!F29&gt;0),Assumptions!G29*MIN(1,(47-Assumptions!F29+1)/MAX(Assumptions!H29,1)),0)</f>
        <v>25</v>
      </c>
      <c r="BA6" s="49">
        <f>IF(AND(Assumptions!C20="Sales",Assumptions!F20&lt;=48,Assumptions!F20&gt;0),Assumptions!G20*MIN(1,(48-Assumptions!F20+1)/MAX(Assumptions!H20,1)),0)+IF(AND(Assumptions!C21="Sales",Assumptions!F21&lt;=48,Assumptions!F21&gt;0),Assumptions!G21*MIN(1,(48-Assumptions!F21+1)/MAX(Assumptions!H21,1)),0)+IF(AND(Assumptions!C22="Sales",Assumptions!F22&lt;=48,Assumptions!F22&gt;0),Assumptions!G22*MIN(1,(48-Assumptions!F22+1)/MAX(Assumptions!H22,1)),0)+IF(AND(Assumptions!C23="Sales",Assumptions!F23&lt;=48,Assumptions!F23&gt;0),Assumptions!G23*MIN(1,(48-Assumptions!F23+1)/MAX(Assumptions!H23,1)),0)+IF(AND(Assumptions!C24="Sales",Assumptions!F24&lt;=48,Assumptions!F24&gt;0),Assumptions!G24*MIN(1,(48-Assumptions!F24+1)/MAX(Assumptions!H24,1)),0)+IF(AND(Assumptions!C25="Sales",Assumptions!F25&lt;=48,Assumptions!F25&gt;0),Assumptions!G25*MIN(1,(48-Assumptions!F25+1)/MAX(Assumptions!H25,1)),0)+IF(AND(Assumptions!C26="Sales",Assumptions!F26&lt;=48,Assumptions!F26&gt;0),Assumptions!G26*MIN(1,(48-Assumptions!F26+1)/MAX(Assumptions!H26,1)),0)+IF(AND(Assumptions!C27="Sales",Assumptions!F27&lt;=48,Assumptions!F27&gt;0),Assumptions!G27*MIN(1,(48-Assumptions!F27+1)/MAX(Assumptions!H27,1)),0)+IF(AND(Assumptions!C28="Sales",Assumptions!F28&lt;=48,Assumptions!F28&gt;0),Assumptions!G28*MIN(1,(48-Assumptions!F28+1)/MAX(Assumptions!H28,1)),0)+IF(AND(Assumptions!C29="Sales",Assumptions!F29&lt;=48,Assumptions!F29&gt;0),Assumptions!G29*MIN(1,(48-Assumptions!F29+1)/MAX(Assumptions!H29,1)),0)</f>
        <v>25</v>
      </c>
      <c r="BB6" s="50">
        <f>SUM(AP6:BA6)</f>
        <v>300</v>
      </c>
      <c r="BC6" s="48">
        <f>IF(AND(Assumptions!C20="Sales",Assumptions!F20&lt;=49,Assumptions!F20&gt;0),Assumptions!G20*MIN(1,(49-Assumptions!F20+1)/MAX(Assumptions!H20,1)),0)+IF(AND(Assumptions!C21="Sales",Assumptions!F21&lt;=49,Assumptions!F21&gt;0),Assumptions!G21*MIN(1,(49-Assumptions!F21+1)/MAX(Assumptions!H21,1)),0)+IF(AND(Assumptions!C22="Sales",Assumptions!F22&lt;=49,Assumptions!F22&gt;0),Assumptions!G22*MIN(1,(49-Assumptions!F22+1)/MAX(Assumptions!H22,1)),0)+IF(AND(Assumptions!C23="Sales",Assumptions!F23&lt;=49,Assumptions!F23&gt;0),Assumptions!G23*MIN(1,(49-Assumptions!F23+1)/MAX(Assumptions!H23,1)),0)+IF(AND(Assumptions!C24="Sales",Assumptions!F24&lt;=49,Assumptions!F24&gt;0),Assumptions!G24*MIN(1,(49-Assumptions!F24+1)/MAX(Assumptions!H24,1)),0)+IF(AND(Assumptions!C25="Sales",Assumptions!F25&lt;=49,Assumptions!F25&gt;0),Assumptions!G25*MIN(1,(49-Assumptions!F25+1)/MAX(Assumptions!H25,1)),0)+IF(AND(Assumptions!C26="Sales",Assumptions!F26&lt;=49,Assumptions!F26&gt;0),Assumptions!G26*MIN(1,(49-Assumptions!F26+1)/MAX(Assumptions!H26,1)),0)+IF(AND(Assumptions!C27="Sales",Assumptions!F27&lt;=49,Assumptions!F27&gt;0),Assumptions!G27*MIN(1,(49-Assumptions!F27+1)/MAX(Assumptions!H27,1)),0)+IF(AND(Assumptions!C28="Sales",Assumptions!F28&lt;=49,Assumptions!F28&gt;0),Assumptions!G28*MIN(1,(49-Assumptions!F28+1)/MAX(Assumptions!H28,1)),0)+IF(AND(Assumptions!C29="Sales",Assumptions!F29&lt;=49,Assumptions!F29&gt;0),Assumptions!G29*MIN(1,(49-Assumptions!F29+1)/MAX(Assumptions!H29,1)),0)</f>
        <v>25</v>
      </c>
      <c r="BD6" s="49">
        <f>IF(AND(Assumptions!C20="Sales",Assumptions!F20&lt;=50,Assumptions!F20&gt;0),Assumptions!G20*MIN(1,(50-Assumptions!F20+1)/MAX(Assumptions!H20,1)),0)+IF(AND(Assumptions!C21="Sales",Assumptions!F21&lt;=50,Assumptions!F21&gt;0),Assumptions!G21*MIN(1,(50-Assumptions!F21+1)/MAX(Assumptions!H21,1)),0)+IF(AND(Assumptions!C22="Sales",Assumptions!F22&lt;=50,Assumptions!F22&gt;0),Assumptions!G22*MIN(1,(50-Assumptions!F22+1)/MAX(Assumptions!H22,1)),0)+IF(AND(Assumptions!C23="Sales",Assumptions!F23&lt;=50,Assumptions!F23&gt;0),Assumptions!G23*MIN(1,(50-Assumptions!F23+1)/MAX(Assumptions!H23,1)),0)+IF(AND(Assumptions!C24="Sales",Assumptions!F24&lt;=50,Assumptions!F24&gt;0),Assumptions!G24*MIN(1,(50-Assumptions!F24+1)/MAX(Assumptions!H24,1)),0)+IF(AND(Assumptions!C25="Sales",Assumptions!F25&lt;=50,Assumptions!F25&gt;0),Assumptions!G25*MIN(1,(50-Assumptions!F25+1)/MAX(Assumptions!H25,1)),0)+IF(AND(Assumptions!C26="Sales",Assumptions!F26&lt;=50,Assumptions!F26&gt;0),Assumptions!G26*MIN(1,(50-Assumptions!F26+1)/MAX(Assumptions!H26,1)),0)+IF(AND(Assumptions!C27="Sales",Assumptions!F27&lt;=50,Assumptions!F27&gt;0),Assumptions!G27*MIN(1,(50-Assumptions!F27+1)/MAX(Assumptions!H27,1)),0)+IF(AND(Assumptions!C28="Sales",Assumptions!F28&lt;=50,Assumptions!F28&gt;0),Assumptions!G28*MIN(1,(50-Assumptions!F28+1)/MAX(Assumptions!H28,1)),0)+IF(AND(Assumptions!C29="Sales",Assumptions!F29&lt;=50,Assumptions!F29&gt;0),Assumptions!G29*MIN(1,(50-Assumptions!F29+1)/MAX(Assumptions!H29,1)),0)</f>
        <v>25</v>
      </c>
      <c r="BE6" s="48">
        <f>IF(AND(Assumptions!C20="Sales",Assumptions!F20&lt;=51,Assumptions!F20&gt;0),Assumptions!G20*MIN(1,(51-Assumptions!F20+1)/MAX(Assumptions!H20,1)),0)+IF(AND(Assumptions!C21="Sales",Assumptions!F21&lt;=51,Assumptions!F21&gt;0),Assumptions!G21*MIN(1,(51-Assumptions!F21+1)/MAX(Assumptions!H21,1)),0)+IF(AND(Assumptions!C22="Sales",Assumptions!F22&lt;=51,Assumptions!F22&gt;0),Assumptions!G22*MIN(1,(51-Assumptions!F22+1)/MAX(Assumptions!H22,1)),0)+IF(AND(Assumptions!C23="Sales",Assumptions!F23&lt;=51,Assumptions!F23&gt;0),Assumptions!G23*MIN(1,(51-Assumptions!F23+1)/MAX(Assumptions!H23,1)),0)+IF(AND(Assumptions!C24="Sales",Assumptions!F24&lt;=51,Assumptions!F24&gt;0),Assumptions!G24*MIN(1,(51-Assumptions!F24+1)/MAX(Assumptions!H24,1)),0)+IF(AND(Assumptions!C25="Sales",Assumptions!F25&lt;=51,Assumptions!F25&gt;0),Assumptions!G25*MIN(1,(51-Assumptions!F25+1)/MAX(Assumptions!H25,1)),0)+IF(AND(Assumptions!C26="Sales",Assumptions!F26&lt;=51,Assumptions!F26&gt;0),Assumptions!G26*MIN(1,(51-Assumptions!F26+1)/MAX(Assumptions!H26,1)),0)+IF(AND(Assumptions!C27="Sales",Assumptions!F27&lt;=51,Assumptions!F27&gt;0),Assumptions!G27*MIN(1,(51-Assumptions!F27+1)/MAX(Assumptions!H27,1)),0)+IF(AND(Assumptions!C28="Sales",Assumptions!F28&lt;=51,Assumptions!F28&gt;0),Assumptions!G28*MIN(1,(51-Assumptions!F28+1)/MAX(Assumptions!H28,1)),0)+IF(AND(Assumptions!C29="Sales",Assumptions!F29&lt;=51,Assumptions!F29&gt;0),Assumptions!G29*MIN(1,(51-Assumptions!F29+1)/MAX(Assumptions!H29,1)),0)</f>
        <v>25</v>
      </c>
      <c r="BF6" s="49">
        <f>IF(AND(Assumptions!C20="Sales",Assumptions!F20&lt;=52,Assumptions!F20&gt;0),Assumptions!G20*MIN(1,(52-Assumptions!F20+1)/MAX(Assumptions!H20,1)),0)+IF(AND(Assumptions!C21="Sales",Assumptions!F21&lt;=52,Assumptions!F21&gt;0),Assumptions!G21*MIN(1,(52-Assumptions!F21+1)/MAX(Assumptions!H21,1)),0)+IF(AND(Assumptions!C22="Sales",Assumptions!F22&lt;=52,Assumptions!F22&gt;0),Assumptions!G22*MIN(1,(52-Assumptions!F22+1)/MAX(Assumptions!H22,1)),0)+IF(AND(Assumptions!C23="Sales",Assumptions!F23&lt;=52,Assumptions!F23&gt;0),Assumptions!G23*MIN(1,(52-Assumptions!F23+1)/MAX(Assumptions!H23,1)),0)+IF(AND(Assumptions!C24="Sales",Assumptions!F24&lt;=52,Assumptions!F24&gt;0),Assumptions!G24*MIN(1,(52-Assumptions!F24+1)/MAX(Assumptions!H24,1)),0)+IF(AND(Assumptions!C25="Sales",Assumptions!F25&lt;=52,Assumptions!F25&gt;0),Assumptions!G25*MIN(1,(52-Assumptions!F25+1)/MAX(Assumptions!H25,1)),0)+IF(AND(Assumptions!C26="Sales",Assumptions!F26&lt;=52,Assumptions!F26&gt;0),Assumptions!G26*MIN(1,(52-Assumptions!F26+1)/MAX(Assumptions!H26,1)),0)+IF(AND(Assumptions!C27="Sales",Assumptions!F27&lt;=52,Assumptions!F27&gt;0),Assumptions!G27*MIN(1,(52-Assumptions!F27+1)/MAX(Assumptions!H27,1)),0)+IF(AND(Assumptions!C28="Sales",Assumptions!F28&lt;=52,Assumptions!F28&gt;0),Assumptions!G28*MIN(1,(52-Assumptions!F28+1)/MAX(Assumptions!H28,1)),0)+IF(AND(Assumptions!C29="Sales",Assumptions!F29&lt;=52,Assumptions!F29&gt;0),Assumptions!G29*MIN(1,(52-Assumptions!F29+1)/MAX(Assumptions!H29,1)),0)</f>
        <v>25</v>
      </c>
      <c r="BG6" s="48">
        <f>IF(AND(Assumptions!C20="Sales",Assumptions!F20&lt;=53,Assumptions!F20&gt;0),Assumptions!G20*MIN(1,(53-Assumptions!F20+1)/MAX(Assumptions!H20,1)),0)+IF(AND(Assumptions!C21="Sales",Assumptions!F21&lt;=53,Assumptions!F21&gt;0),Assumptions!G21*MIN(1,(53-Assumptions!F21+1)/MAX(Assumptions!H21,1)),0)+IF(AND(Assumptions!C22="Sales",Assumptions!F22&lt;=53,Assumptions!F22&gt;0),Assumptions!G22*MIN(1,(53-Assumptions!F22+1)/MAX(Assumptions!H22,1)),0)+IF(AND(Assumptions!C23="Sales",Assumptions!F23&lt;=53,Assumptions!F23&gt;0),Assumptions!G23*MIN(1,(53-Assumptions!F23+1)/MAX(Assumptions!H23,1)),0)+IF(AND(Assumptions!C24="Sales",Assumptions!F24&lt;=53,Assumptions!F24&gt;0),Assumptions!G24*MIN(1,(53-Assumptions!F24+1)/MAX(Assumptions!H24,1)),0)+IF(AND(Assumptions!C25="Sales",Assumptions!F25&lt;=53,Assumptions!F25&gt;0),Assumptions!G25*MIN(1,(53-Assumptions!F25+1)/MAX(Assumptions!H25,1)),0)+IF(AND(Assumptions!C26="Sales",Assumptions!F26&lt;=53,Assumptions!F26&gt;0),Assumptions!G26*MIN(1,(53-Assumptions!F26+1)/MAX(Assumptions!H26,1)),0)+IF(AND(Assumptions!C27="Sales",Assumptions!F27&lt;=53,Assumptions!F27&gt;0),Assumptions!G27*MIN(1,(53-Assumptions!F27+1)/MAX(Assumptions!H27,1)),0)+IF(AND(Assumptions!C28="Sales",Assumptions!F28&lt;=53,Assumptions!F28&gt;0),Assumptions!G28*MIN(1,(53-Assumptions!F28+1)/MAX(Assumptions!H28,1)),0)+IF(AND(Assumptions!C29="Sales",Assumptions!F29&lt;=53,Assumptions!F29&gt;0),Assumptions!G29*MIN(1,(53-Assumptions!F29+1)/MAX(Assumptions!H29,1)),0)</f>
        <v>25</v>
      </c>
      <c r="BH6" s="49">
        <f>IF(AND(Assumptions!C20="Sales",Assumptions!F20&lt;=54,Assumptions!F20&gt;0),Assumptions!G20*MIN(1,(54-Assumptions!F20+1)/MAX(Assumptions!H20,1)),0)+IF(AND(Assumptions!C21="Sales",Assumptions!F21&lt;=54,Assumptions!F21&gt;0),Assumptions!G21*MIN(1,(54-Assumptions!F21+1)/MAX(Assumptions!H21,1)),0)+IF(AND(Assumptions!C22="Sales",Assumptions!F22&lt;=54,Assumptions!F22&gt;0),Assumptions!G22*MIN(1,(54-Assumptions!F22+1)/MAX(Assumptions!H22,1)),0)+IF(AND(Assumptions!C23="Sales",Assumptions!F23&lt;=54,Assumptions!F23&gt;0),Assumptions!G23*MIN(1,(54-Assumptions!F23+1)/MAX(Assumptions!H23,1)),0)+IF(AND(Assumptions!C24="Sales",Assumptions!F24&lt;=54,Assumptions!F24&gt;0),Assumptions!G24*MIN(1,(54-Assumptions!F24+1)/MAX(Assumptions!H24,1)),0)+IF(AND(Assumptions!C25="Sales",Assumptions!F25&lt;=54,Assumptions!F25&gt;0),Assumptions!G25*MIN(1,(54-Assumptions!F25+1)/MAX(Assumptions!H25,1)),0)+IF(AND(Assumptions!C26="Sales",Assumptions!F26&lt;=54,Assumptions!F26&gt;0),Assumptions!G26*MIN(1,(54-Assumptions!F26+1)/MAX(Assumptions!H26,1)),0)+IF(AND(Assumptions!C27="Sales",Assumptions!F27&lt;=54,Assumptions!F27&gt;0),Assumptions!G27*MIN(1,(54-Assumptions!F27+1)/MAX(Assumptions!H27,1)),0)+IF(AND(Assumptions!C28="Sales",Assumptions!F28&lt;=54,Assumptions!F28&gt;0),Assumptions!G28*MIN(1,(54-Assumptions!F28+1)/MAX(Assumptions!H28,1)),0)+IF(AND(Assumptions!C29="Sales",Assumptions!F29&lt;=54,Assumptions!F29&gt;0),Assumptions!G29*MIN(1,(54-Assumptions!F29+1)/MAX(Assumptions!H29,1)),0)</f>
        <v>25</v>
      </c>
      <c r="BI6" s="48">
        <f>IF(AND(Assumptions!C20="Sales",Assumptions!F20&lt;=55,Assumptions!F20&gt;0),Assumptions!G20*MIN(1,(55-Assumptions!F20+1)/MAX(Assumptions!H20,1)),0)+IF(AND(Assumptions!C21="Sales",Assumptions!F21&lt;=55,Assumptions!F21&gt;0),Assumptions!G21*MIN(1,(55-Assumptions!F21+1)/MAX(Assumptions!H21,1)),0)+IF(AND(Assumptions!C22="Sales",Assumptions!F22&lt;=55,Assumptions!F22&gt;0),Assumptions!G22*MIN(1,(55-Assumptions!F22+1)/MAX(Assumptions!H22,1)),0)+IF(AND(Assumptions!C23="Sales",Assumptions!F23&lt;=55,Assumptions!F23&gt;0),Assumptions!G23*MIN(1,(55-Assumptions!F23+1)/MAX(Assumptions!H23,1)),0)+IF(AND(Assumptions!C24="Sales",Assumptions!F24&lt;=55,Assumptions!F24&gt;0),Assumptions!G24*MIN(1,(55-Assumptions!F24+1)/MAX(Assumptions!H24,1)),0)+IF(AND(Assumptions!C25="Sales",Assumptions!F25&lt;=55,Assumptions!F25&gt;0),Assumptions!G25*MIN(1,(55-Assumptions!F25+1)/MAX(Assumptions!H25,1)),0)+IF(AND(Assumptions!C26="Sales",Assumptions!F26&lt;=55,Assumptions!F26&gt;0),Assumptions!G26*MIN(1,(55-Assumptions!F26+1)/MAX(Assumptions!H26,1)),0)+IF(AND(Assumptions!C27="Sales",Assumptions!F27&lt;=55,Assumptions!F27&gt;0),Assumptions!G27*MIN(1,(55-Assumptions!F27+1)/MAX(Assumptions!H27,1)),0)+IF(AND(Assumptions!C28="Sales",Assumptions!F28&lt;=55,Assumptions!F28&gt;0),Assumptions!G28*MIN(1,(55-Assumptions!F28+1)/MAX(Assumptions!H28,1)),0)+IF(AND(Assumptions!C29="Sales",Assumptions!F29&lt;=55,Assumptions!F29&gt;0),Assumptions!G29*MIN(1,(55-Assumptions!F29+1)/MAX(Assumptions!H29,1)),0)</f>
        <v>25</v>
      </c>
      <c r="BJ6" s="49">
        <f>IF(AND(Assumptions!C20="Sales",Assumptions!F20&lt;=56,Assumptions!F20&gt;0),Assumptions!G20*MIN(1,(56-Assumptions!F20+1)/MAX(Assumptions!H20,1)),0)+IF(AND(Assumptions!C21="Sales",Assumptions!F21&lt;=56,Assumptions!F21&gt;0),Assumptions!G21*MIN(1,(56-Assumptions!F21+1)/MAX(Assumptions!H21,1)),0)+IF(AND(Assumptions!C22="Sales",Assumptions!F22&lt;=56,Assumptions!F22&gt;0),Assumptions!G22*MIN(1,(56-Assumptions!F22+1)/MAX(Assumptions!H22,1)),0)+IF(AND(Assumptions!C23="Sales",Assumptions!F23&lt;=56,Assumptions!F23&gt;0),Assumptions!G23*MIN(1,(56-Assumptions!F23+1)/MAX(Assumptions!H23,1)),0)+IF(AND(Assumptions!C24="Sales",Assumptions!F24&lt;=56,Assumptions!F24&gt;0),Assumptions!G24*MIN(1,(56-Assumptions!F24+1)/MAX(Assumptions!H24,1)),0)+IF(AND(Assumptions!C25="Sales",Assumptions!F25&lt;=56,Assumptions!F25&gt;0),Assumptions!G25*MIN(1,(56-Assumptions!F25+1)/MAX(Assumptions!H25,1)),0)+IF(AND(Assumptions!C26="Sales",Assumptions!F26&lt;=56,Assumptions!F26&gt;0),Assumptions!G26*MIN(1,(56-Assumptions!F26+1)/MAX(Assumptions!H26,1)),0)+IF(AND(Assumptions!C27="Sales",Assumptions!F27&lt;=56,Assumptions!F27&gt;0),Assumptions!G27*MIN(1,(56-Assumptions!F27+1)/MAX(Assumptions!H27,1)),0)+IF(AND(Assumptions!C28="Sales",Assumptions!F28&lt;=56,Assumptions!F28&gt;0),Assumptions!G28*MIN(1,(56-Assumptions!F28+1)/MAX(Assumptions!H28,1)),0)+IF(AND(Assumptions!C29="Sales",Assumptions!F29&lt;=56,Assumptions!F29&gt;0),Assumptions!G29*MIN(1,(56-Assumptions!F29+1)/MAX(Assumptions!H29,1)),0)</f>
        <v>25</v>
      </c>
      <c r="BK6" s="48">
        <f>IF(AND(Assumptions!C20="Sales",Assumptions!F20&lt;=57,Assumptions!F20&gt;0),Assumptions!G20*MIN(1,(57-Assumptions!F20+1)/MAX(Assumptions!H20,1)),0)+IF(AND(Assumptions!C21="Sales",Assumptions!F21&lt;=57,Assumptions!F21&gt;0),Assumptions!G21*MIN(1,(57-Assumptions!F21+1)/MAX(Assumptions!H21,1)),0)+IF(AND(Assumptions!C22="Sales",Assumptions!F22&lt;=57,Assumptions!F22&gt;0),Assumptions!G22*MIN(1,(57-Assumptions!F22+1)/MAX(Assumptions!H22,1)),0)+IF(AND(Assumptions!C23="Sales",Assumptions!F23&lt;=57,Assumptions!F23&gt;0),Assumptions!G23*MIN(1,(57-Assumptions!F23+1)/MAX(Assumptions!H23,1)),0)+IF(AND(Assumptions!C24="Sales",Assumptions!F24&lt;=57,Assumptions!F24&gt;0),Assumptions!G24*MIN(1,(57-Assumptions!F24+1)/MAX(Assumptions!H24,1)),0)+IF(AND(Assumptions!C25="Sales",Assumptions!F25&lt;=57,Assumptions!F25&gt;0),Assumptions!G25*MIN(1,(57-Assumptions!F25+1)/MAX(Assumptions!H25,1)),0)+IF(AND(Assumptions!C26="Sales",Assumptions!F26&lt;=57,Assumptions!F26&gt;0),Assumptions!G26*MIN(1,(57-Assumptions!F26+1)/MAX(Assumptions!H26,1)),0)+IF(AND(Assumptions!C27="Sales",Assumptions!F27&lt;=57,Assumptions!F27&gt;0),Assumptions!G27*MIN(1,(57-Assumptions!F27+1)/MAX(Assumptions!H27,1)),0)+IF(AND(Assumptions!C28="Sales",Assumptions!F28&lt;=57,Assumptions!F28&gt;0),Assumptions!G28*MIN(1,(57-Assumptions!F28+1)/MAX(Assumptions!H28,1)),0)+IF(AND(Assumptions!C29="Sales",Assumptions!F29&lt;=57,Assumptions!F29&gt;0),Assumptions!G29*MIN(1,(57-Assumptions!F29+1)/MAX(Assumptions!H29,1)),0)</f>
        <v>25</v>
      </c>
      <c r="BL6" s="49">
        <f>IF(AND(Assumptions!C20="Sales",Assumptions!F20&lt;=58,Assumptions!F20&gt;0),Assumptions!G20*MIN(1,(58-Assumptions!F20+1)/MAX(Assumptions!H20,1)),0)+IF(AND(Assumptions!C21="Sales",Assumptions!F21&lt;=58,Assumptions!F21&gt;0),Assumptions!G21*MIN(1,(58-Assumptions!F21+1)/MAX(Assumptions!H21,1)),0)+IF(AND(Assumptions!C22="Sales",Assumptions!F22&lt;=58,Assumptions!F22&gt;0),Assumptions!G22*MIN(1,(58-Assumptions!F22+1)/MAX(Assumptions!H22,1)),0)+IF(AND(Assumptions!C23="Sales",Assumptions!F23&lt;=58,Assumptions!F23&gt;0),Assumptions!G23*MIN(1,(58-Assumptions!F23+1)/MAX(Assumptions!H23,1)),0)+IF(AND(Assumptions!C24="Sales",Assumptions!F24&lt;=58,Assumptions!F24&gt;0),Assumptions!G24*MIN(1,(58-Assumptions!F24+1)/MAX(Assumptions!H24,1)),0)+IF(AND(Assumptions!C25="Sales",Assumptions!F25&lt;=58,Assumptions!F25&gt;0),Assumptions!G25*MIN(1,(58-Assumptions!F25+1)/MAX(Assumptions!H25,1)),0)+IF(AND(Assumptions!C26="Sales",Assumptions!F26&lt;=58,Assumptions!F26&gt;0),Assumptions!G26*MIN(1,(58-Assumptions!F26+1)/MAX(Assumptions!H26,1)),0)+IF(AND(Assumptions!C27="Sales",Assumptions!F27&lt;=58,Assumptions!F27&gt;0),Assumptions!G27*MIN(1,(58-Assumptions!F27+1)/MAX(Assumptions!H27,1)),0)+IF(AND(Assumptions!C28="Sales",Assumptions!F28&lt;=58,Assumptions!F28&gt;0),Assumptions!G28*MIN(1,(58-Assumptions!F28+1)/MAX(Assumptions!H28,1)),0)+IF(AND(Assumptions!C29="Sales",Assumptions!F29&lt;=58,Assumptions!F29&gt;0),Assumptions!G29*MIN(1,(58-Assumptions!F29+1)/MAX(Assumptions!H29,1)),0)</f>
        <v>25</v>
      </c>
      <c r="BM6" s="48">
        <f>IF(AND(Assumptions!C20="Sales",Assumptions!F20&lt;=59,Assumptions!F20&gt;0),Assumptions!G20*MIN(1,(59-Assumptions!F20+1)/MAX(Assumptions!H20,1)),0)+IF(AND(Assumptions!C21="Sales",Assumptions!F21&lt;=59,Assumptions!F21&gt;0),Assumptions!G21*MIN(1,(59-Assumptions!F21+1)/MAX(Assumptions!H21,1)),0)+IF(AND(Assumptions!C22="Sales",Assumptions!F22&lt;=59,Assumptions!F22&gt;0),Assumptions!G22*MIN(1,(59-Assumptions!F22+1)/MAX(Assumptions!H22,1)),0)+IF(AND(Assumptions!C23="Sales",Assumptions!F23&lt;=59,Assumptions!F23&gt;0),Assumptions!G23*MIN(1,(59-Assumptions!F23+1)/MAX(Assumptions!H23,1)),0)+IF(AND(Assumptions!C24="Sales",Assumptions!F24&lt;=59,Assumptions!F24&gt;0),Assumptions!G24*MIN(1,(59-Assumptions!F24+1)/MAX(Assumptions!H24,1)),0)+IF(AND(Assumptions!C25="Sales",Assumptions!F25&lt;=59,Assumptions!F25&gt;0),Assumptions!G25*MIN(1,(59-Assumptions!F25+1)/MAX(Assumptions!H25,1)),0)+IF(AND(Assumptions!C26="Sales",Assumptions!F26&lt;=59,Assumptions!F26&gt;0),Assumptions!G26*MIN(1,(59-Assumptions!F26+1)/MAX(Assumptions!H26,1)),0)+IF(AND(Assumptions!C27="Sales",Assumptions!F27&lt;=59,Assumptions!F27&gt;0),Assumptions!G27*MIN(1,(59-Assumptions!F27+1)/MAX(Assumptions!H27,1)),0)+IF(AND(Assumptions!C28="Sales",Assumptions!F28&lt;=59,Assumptions!F28&gt;0),Assumptions!G28*MIN(1,(59-Assumptions!F28+1)/MAX(Assumptions!H28,1)),0)+IF(AND(Assumptions!C29="Sales",Assumptions!F29&lt;=59,Assumptions!F29&gt;0),Assumptions!G29*MIN(1,(59-Assumptions!F29+1)/MAX(Assumptions!H29,1)),0)</f>
        <v>25</v>
      </c>
      <c r="BN6" s="49">
        <f>IF(AND(Assumptions!C20="Sales",Assumptions!F20&lt;=60,Assumptions!F20&gt;0),Assumptions!G20*MIN(1,(60-Assumptions!F20+1)/MAX(Assumptions!H20,1)),0)+IF(AND(Assumptions!C21="Sales",Assumptions!F21&lt;=60,Assumptions!F21&gt;0),Assumptions!G21*MIN(1,(60-Assumptions!F21+1)/MAX(Assumptions!H21,1)),0)+IF(AND(Assumptions!C22="Sales",Assumptions!F22&lt;=60,Assumptions!F22&gt;0),Assumptions!G22*MIN(1,(60-Assumptions!F22+1)/MAX(Assumptions!H22,1)),0)+IF(AND(Assumptions!C23="Sales",Assumptions!F23&lt;=60,Assumptions!F23&gt;0),Assumptions!G23*MIN(1,(60-Assumptions!F23+1)/MAX(Assumptions!H23,1)),0)+IF(AND(Assumptions!C24="Sales",Assumptions!F24&lt;=60,Assumptions!F24&gt;0),Assumptions!G24*MIN(1,(60-Assumptions!F24+1)/MAX(Assumptions!H24,1)),0)+IF(AND(Assumptions!C25="Sales",Assumptions!F25&lt;=60,Assumptions!F25&gt;0),Assumptions!G25*MIN(1,(60-Assumptions!F25+1)/MAX(Assumptions!H25,1)),0)+IF(AND(Assumptions!C26="Sales",Assumptions!F26&lt;=60,Assumptions!F26&gt;0),Assumptions!G26*MIN(1,(60-Assumptions!F26+1)/MAX(Assumptions!H26,1)),0)+IF(AND(Assumptions!C27="Sales",Assumptions!F27&lt;=60,Assumptions!F27&gt;0),Assumptions!G27*MIN(1,(60-Assumptions!F27+1)/MAX(Assumptions!H27,1)),0)+IF(AND(Assumptions!C28="Sales",Assumptions!F28&lt;=60,Assumptions!F28&gt;0),Assumptions!G28*MIN(1,(60-Assumptions!F28+1)/MAX(Assumptions!H28,1)),0)+IF(AND(Assumptions!C29="Sales",Assumptions!F29&lt;=60,Assumptions!F29&gt;0),Assumptions!G29*MIN(1,(60-Assumptions!F29+1)/MAX(Assumptions!H29,1)),0)</f>
        <v>25</v>
      </c>
      <c r="BO6" s="50">
        <f>SUM(BC6:BN6)</f>
        <v>300</v>
      </c>
    </row>
    <row r="7" spans="2:67" x14ac:dyDescent="0.2">
      <c r="B7" s="51" t="s">
        <v>220</v>
      </c>
      <c r="C7" s="52">
        <f>IF(Assumptions!C11="Yes",IF(Assumptions!G12&gt;0,Assumptions!C12/Assumptions!G12,0),0)</f>
        <v>0</v>
      </c>
      <c r="D7" s="53">
        <v>0</v>
      </c>
      <c r="E7" s="52">
        <v>0</v>
      </c>
      <c r="F7" s="53">
        <v>0</v>
      </c>
      <c r="G7" s="52">
        <v>0</v>
      </c>
      <c r="H7" s="53">
        <v>0</v>
      </c>
      <c r="I7" s="52">
        <v>0</v>
      </c>
      <c r="J7" s="53">
        <v>0</v>
      </c>
      <c r="K7" s="52">
        <v>0</v>
      </c>
      <c r="L7" s="53">
        <v>0</v>
      </c>
      <c r="M7" s="52">
        <v>0</v>
      </c>
      <c r="N7" s="53">
        <v>0</v>
      </c>
      <c r="O7" s="50">
        <f>SUM(C7:N7)</f>
        <v>0</v>
      </c>
      <c r="P7" s="52">
        <v>0</v>
      </c>
      <c r="Q7" s="53">
        <v>0</v>
      </c>
      <c r="R7" s="52">
        <v>0</v>
      </c>
      <c r="S7" s="53">
        <v>0</v>
      </c>
      <c r="T7" s="52">
        <v>0</v>
      </c>
      <c r="U7" s="53">
        <v>0</v>
      </c>
      <c r="V7" s="52">
        <v>0</v>
      </c>
      <c r="W7" s="53">
        <v>0</v>
      </c>
      <c r="X7" s="52">
        <v>0</v>
      </c>
      <c r="Y7" s="53">
        <v>0</v>
      </c>
      <c r="Z7" s="52">
        <v>0</v>
      </c>
      <c r="AA7" s="53">
        <v>0</v>
      </c>
      <c r="AB7" s="50">
        <f>SUM(P7:AA7)</f>
        <v>0</v>
      </c>
      <c r="AC7" s="52">
        <v>0</v>
      </c>
      <c r="AD7" s="53">
        <v>0</v>
      </c>
      <c r="AE7" s="52">
        <v>0</v>
      </c>
      <c r="AF7" s="53">
        <v>0</v>
      </c>
      <c r="AG7" s="52">
        <v>0</v>
      </c>
      <c r="AH7" s="53">
        <v>0</v>
      </c>
      <c r="AI7" s="52">
        <v>0</v>
      </c>
      <c r="AJ7" s="53">
        <v>0</v>
      </c>
      <c r="AK7" s="52">
        <v>0</v>
      </c>
      <c r="AL7" s="53">
        <v>0</v>
      </c>
      <c r="AM7" s="52">
        <v>0</v>
      </c>
      <c r="AN7" s="53">
        <v>0</v>
      </c>
      <c r="AO7" s="50">
        <f>SUM(AC7:AN7)</f>
        <v>0</v>
      </c>
      <c r="AP7" s="52">
        <v>0</v>
      </c>
      <c r="AQ7" s="53">
        <v>0</v>
      </c>
      <c r="AR7" s="52">
        <v>0</v>
      </c>
      <c r="AS7" s="53">
        <v>0</v>
      </c>
      <c r="AT7" s="52">
        <v>0</v>
      </c>
      <c r="AU7" s="53">
        <v>0</v>
      </c>
      <c r="AV7" s="52">
        <v>0</v>
      </c>
      <c r="AW7" s="53">
        <v>0</v>
      </c>
      <c r="AX7" s="52">
        <v>0</v>
      </c>
      <c r="AY7" s="53">
        <v>0</v>
      </c>
      <c r="AZ7" s="52">
        <v>0</v>
      </c>
      <c r="BA7" s="53">
        <v>0</v>
      </c>
      <c r="BB7" s="50">
        <f>SUM(AP7:BA7)</f>
        <v>0</v>
      </c>
      <c r="BC7" s="52">
        <v>0</v>
      </c>
      <c r="BD7" s="53">
        <v>0</v>
      </c>
      <c r="BE7" s="52">
        <v>0</v>
      </c>
      <c r="BF7" s="53">
        <v>0</v>
      </c>
      <c r="BG7" s="52">
        <v>0</v>
      </c>
      <c r="BH7" s="53">
        <v>0</v>
      </c>
      <c r="BI7" s="52">
        <v>0</v>
      </c>
      <c r="BJ7" s="53">
        <v>0</v>
      </c>
      <c r="BK7" s="52">
        <v>0</v>
      </c>
      <c r="BL7" s="53">
        <v>0</v>
      </c>
      <c r="BM7" s="52">
        <v>0</v>
      </c>
      <c r="BN7" s="53">
        <v>0</v>
      </c>
      <c r="BO7" s="50">
        <f>SUM(BC7:BN7)</f>
        <v>0</v>
      </c>
    </row>
    <row r="8" spans="2:67" x14ac:dyDescent="0.2">
      <c r="B8" s="51" t="s">
        <v>221</v>
      </c>
      <c r="C8" s="52">
        <f>C6+C7</f>
        <v>0</v>
      </c>
      <c r="D8" s="53">
        <f t="shared" ref="D8:N8" si="0">C10+D6+D7</f>
        <v>0</v>
      </c>
      <c r="E8" s="52">
        <f t="shared" si="0"/>
        <v>4.1666666666666661</v>
      </c>
      <c r="F8" s="53">
        <f t="shared" si="0"/>
        <v>12.499999999999998</v>
      </c>
      <c r="G8" s="52">
        <f t="shared" si="0"/>
        <v>25</v>
      </c>
      <c r="H8" s="53">
        <f t="shared" si="0"/>
        <v>41.666666666666664</v>
      </c>
      <c r="I8" s="52">
        <f t="shared" si="0"/>
        <v>62.5</v>
      </c>
      <c r="J8" s="53">
        <f t="shared" si="0"/>
        <v>87.5</v>
      </c>
      <c r="K8" s="52">
        <f t="shared" si="0"/>
        <v>111.5</v>
      </c>
      <c r="L8" s="53">
        <f t="shared" si="0"/>
        <v>135.5</v>
      </c>
      <c r="M8" s="52">
        <f t="shared" si="0"/>
        <v>159.5</v>
      </c>
      <c r="N8" s="53">
        <f t="shared" si="0"/>
        <v>183.5</v>
      </c>
      <c r="O8" s="50">
        <f>N8</f>
        <v>183.5</v>
      </c>
      <c r="P8" s="52">
        <f>N10+P6+P7</f>
        <v>206.5</v>
      </c>
      <c r="Q8" s="53">
        <f t="shared" ref="Q8:AA8" si="1">P10+Q6+Q7</f>
        <v>229.5</v>
      </c>
      <c r="R8" s="52">
        <f t="shared" si="1"/>
        <v>252.5</v>
      </c>
      <c r="S8" s="53">
        <f t="shared" si="1"/>
        <v>275.5</v>
      </c>
      <c r="T8" s="52">
        <f t="shared" si="1"/>
        <v>298.5</v>
      </c>
      <c r="U8" s="53">
        <f t="shared" si="1"/>
        <v>320.5</v>
      </c>
      <c r="V8" s="52">
        <f t="shared" si="1"/>
        <v>342.5</v>
      </c>
      <c r="W8" s="53">
        <f t="shared" si="1"/>
        <v>364.5</v>
      </c>
      <c r="X8" s="52">
        <f t="shared" si="1"/>
        <v>386.5</v>
      </c>
      <c r="Y8" s="53">
        <f t="shared" si="1"/>
        <v>407.5</v>
      </c>
      <c r="Z8" s="52">
        <f t="shared" si="1"/>
        <v>428.5</v>
      </c>
      <c r="AA8" s="53">
        <f t="shared" si="1"/>
        <v>449.5</v>
      </c>
      <c r="AB8" s="50">
        <f>AA8</f>
        <v>449.5</v>
      </c>
      <c r="AC8" s="52">
        <f>AA10+AC6+AC7</f>
        <v>470.5</v>
      </c>
      <c r="AD8" s="53">
        <f t="shared" ref="AD8:AN8" si="2">AC10+AD6+AD7</f>
        <v>491.5</v>
      </c>
      <c r="AE8" s="52">
        <f t="shared" si="2"/>
        <v>511.5</v>
      </c>
      <c r="AF8" s="53">
        <f t="shared" si="2"/>
        <v>531.5</v>
      </c>
      <c r="AG8" s="52">
        <f t="shared" si="2"/>
        <v>551.5</v>
      </c>
      <c r="AH8" s="53">
        <f t="shared" si="2"/>
        <v>571.5</v>
      </c>
      <c r="AI8" s="52">
        <f t="shared" si="2"/>
        <v>591.5</v>
      </c>
      <c r="AJ8" s="53">
        <f t="shared" si="2"/>
        <v>610.5</v>
      </c>
      <c r="AK8" s="52">
        <f t="shared" si="2"/>
        <v>629.5</v>
      </c>
      <c r="AL8" s="53">
        <f t="shared" si="2"/>
        <v>648.5</v>
      </c>
      <c r="AM8" s="52">
        <f t="shared" si="2"/>
        <v>667.5</v>
      </c>
      <c r="AN8" s="53">
        <f t="shared" si="2"/>
        <v>686.5</v>
      </c>
      <c r="AO8" s="50">
        <f>AN8</f>
        <v>686.5</v>
      </c>
      <c r="AP8" s="52">
        <f>AN10+AP6+AP7</f>
        <v>704.5</v>
      </c>
      <c r="AQ8" s="53">
        <f t="shared" ref="AQ8:BA8" si="3">AP10+AQ6+AQ7</f>
        <v>722.5</v>
      </c>
      <c r="AR8" s="52">
        <f t="shared" si="3"/>
        <v>740.5</v>
      </c>
      <c r="AS8" s="53">
        <f t="shared" si="3"/>
        <v>758.5</v>
      </c>
      <c r="AT8" s="52">
        <f t="shared" si="3"/>
        <v>776.5</v>
      </c>
      <c r="AU8" s="53">
        <f t="shared" si="3"/>
        <v>794.5</v>
      </c>
      <c r="AV8" s="52">
        <f t="shared" si="3"/>
        <v>811.5</v>
      </c>
      <c r="AW8" s="53">
        <f t="shared" si="3"/>
        <v>828.5</v>
      </c>
      <c r="AX8" s="52">
        <f t="shared" si="3"/>
        <v>845.5</v>
      </c>
      <c r="AY8" s="53">
        <f t="shared" si="3"/>
        <v>862.5</v>
      </c>
      <c r="AZ8" s="52">
        <f t="shared" si="3"/>
        <v>879.5</v>
      </c>
      <c r="BA8" s="53">
        <f t="shared" si="3"/>
        <v>895.5</v>
      </c>
      <c r="BB8" s="50">
        <f>BA8</f>
        <v>895.5</v>
      </c>
      <c r="BC8" s="52">
        <f>BA10+BC6+BC7</f>
        <v>911.5</v>
      </c>
      <c r="BD8" s="53">
        <f t="shared" ref="BD8:BN8" si="4">BC10+BD6+BD7</f>
        <v>927.5</v>
      </c>
      <c r="BE8" s="52">
        <f t="shared" si="4"/>
        <v>943.5</v>
      </c>
      <c r="BF8" s="53">
        <f t="shared" si="4"/>
        <v>959.5</v>
      </c>
      <c r="BG8" s="52">
        <f t="shared" si="4"/>
        <v>975.5</v>
      </c>
      <c r="BH8" s="53">
        <f t="shared" si="4"/>
        <v>991.5</v>
      </c>
      <c r="BI8" s="52">
        <f t="shared" si="4"/>
        <v>1006.5</v>
      </c>
      <c r="BJ8" s="53">
        <f t="shared" si="4"/>
        <v>1021.5</v>
      </c>
      <c r="BK8" s="52">
        <f t="shared" si="4"/>
        <v>1036.5</v>
      </c>
      <c r="BL8" s="53">
        <f t="shared" si="4"/>
        <v>1051.5</v>
      </c>
      <c r="BM8" s="52">
        <f t="shared" si="4"/>
        <v>1066.5</v>
      </c>
      <c r="BN8" s="53">
        <f t="shared" si="4"/>
        <v>1081.5</v>
      </c>
      <c r="BO8" s="50">
        <f>BN8</f>
        <v>1081.5</v>
      </c>
    </row>
    <row r="9" spans="2:67" x14ac:dyDescent="0.2">
      <c r="B9" s="51" t="s">
        <v>222</v>
      </c>
      <c r="C9" s="54">
        <f>ROUND(C7*(1-Assumptions!I12^(1/12)),0)</f>
        <v>0</v>
      </c>
      <c r="D9" s="55">
        <f>ROUND(C10*(1-Assumptions!I12^(1/12)),0)</f>
        <v>0</v>
      </c>
      <c r="E9" s="54">
        <f>ROUND(D10*(1-Assumptions!I12^(1/12)),0)</f>
        <v>0</v>
      </c>
      <c r="F9" s="55">
        <f>ROUND(E10*(1-Assumptions!I12^(1/12)),0)</f>
        <v>0</v>
      </c>
      <c r="G9" s="54">
        <f>ROUND(F10*(1-Assumptions!I12^(1/12)),0)</f>
        <v>0</v>
      </c>
      <c r="H9" s="55">
        <f>ROUND(G10*(1-Assumptions!I12^(1/12)),0)</f>
        <v>0</v>
      </c>
      <c r="I9" s="54">
        <f>ROUND(H10*(1-Assumptions!I12^(1/12)),0)</f>
        <v>0</v>
      </c>
      <c r="J9" s="55">
        <f>ROUND(I10*(1-Assumptions!I12^(1/12)),0)</f>
        <v>1</v>
      </c>
      <c r="K9" s="54">
        <f>ROUND(J10*(1-Assumptions!I12^(1/12)),0)</f>
        <v>1</v>
      </c>
      <c r="L9" s="55">
        <f>ROUND(K10*(1-Assumptions!I12^(1/12)),0)</f>
        <v>1</v>
      </c>
      <c r="M9" s="54">
        <f>ROUND(L10*(1-Assumptions!I12^(1/12)),0)</f>
        <v>1</v>
      </c>
      <c r="N9" s="55">
        <f>ROUND(M10*(1-Assumptions!I12^(1/12)),0)</f>
        <v>2</v>
      </c>
      <c r="O9" s="50">
        <f>SUM(C9:N9)</f>
        <v>6</v>
      </c>
      <c r="P9" s="54">
        <f>ROUND(N10*(1-Assumptions!I12^(1/12)),0)</f>
        <v>2</v>
      </c>
      <c r="Q9" s="55">
        <f>ROUND(P10*(1-Assumptions!I12^(1/12)),0)</f>
        <v>2</v>
      </c>
      <c r="R9" s="54">
        <f>ROUND(Q10*(1-Assumptions!I12^(1/12)),0)</f>
        <v>2</v>
      </c>
      <c r="S9" s="55">
        <f>ROUND(R10*(1-Assumptions!I12^(1/12)),0)</f>
        <v>2</v>
      </c>
      <c r="T9" s="54">
        <f>ROUND(S10*(1-Assumptions!I12^(1/12)),0)</f>
        <v>3</v>
      </c>
      <c r="U9" s="55">
        <f>ROUND(T10*(1-Assumptions!I12^(1/12)),0)</f>
        <v>3</v>
      </c>
      <c r="V9" s="54">
        <f>ROUND(U10*(1-Assumptions!I12^(1/12)),0)</f>
        <v>3</v>
      </c>
      <c r="W9" s="55">
        <f>ROUND(V10*(1-Assumptions!I12^(1/12)),0)</f>
        <v>3</v>
      </c>
      <c r="X9" s="54">
        <f>ROUND(W10*(1-Assumptions!I12^(1/12)),0)</f>
        <v>4</v>
      </c>
      <c r="Y9" s="55">
        <f>ROUND(X10*(1-Assumptions!I12^(1/12)),0)</f>
        <v>4</v>
      </c>
      <c r="Z9" s="54">
        <f>ROUND(Y10*(1-Assumptions!I12^(1/12)),0)</f>
        <v>4</v>
      </c>
      <c r="AA9" s="55">
        <f>ROUND(Z10*(1-Assumptions!I12^(1/12)),0)</f>
        <v>4</v>
      </c>
      <c r="AB9" s="50">
        <f>SUM(P9:AA9)</f>
        <v>36</v>
      </c>
      <c r="AC9" s="54">
        <f>ROUND(AA10*(1-Assumptions!I12^(1/12)),0)</f>
        <v>4</v>
      </c>
      <c r="AD9" s="55">
        <f>ROUND(AC10*(1-Assumptions!I12^(1/12)),0)</f>
        <v>5</v>
      </c>
      <c r="AE9" s="54">
        <f>ROUND(AD10*(1-Assumptions!I12^(1/12)),0)</f>
        <v>5</v>
      </c>
      <c r="AF9" s="55">
        <f>ROUND(AE10*(1-Assumptions!I12^(1/12)),0)</f>
        <v>5</v>
      </c>
      <c r="AG9" s="54">
        <f>ROUND(AF10*(1-Assumptions!I12^(1/12)),0)</f>
        <v>5</v>
      </c>
      <c r="AH9" s="55">
        <f>ROUND(AG10*(1-Assumptions!I12^(1/12)),0)</f>
        <v>5</v>
      </c>
      <c r="AI9" s="54">
        <f>ROUND(AH10*(1-Assumptions!I12^(1/12)),0)</f>
        <v>6</v>
      </c>
      <c r="AJ9" s="55">
        <f>ROUND(AI10*(1-Assumptions!I12^(1/12)),0)</f>
        <v>6</v>
      </c>
      <c r="AK9" s="54">
        <f>ROUND(AJ10*(1-Assumptions!I12^(1/12)),0)</f>
        <v>6</v>
      </c>
      <c r="AL9" s="55">
        <f>ROUND(AK10*(1-Assumptions!I12^(1/12)),0)</f>
        <v>6</v>
      </c>
      <c r="AM9" s="54">
        <f>ROUND(AL10*(1-Assumptions!I12^(1/12)),0)</f>
        <v>6</v>
      </c>
      <c r="AN9" s="55">
        <f>ROUND(AM10*(1-Assumptions!I12^(1/12)),0)</f>
        <v>7</v>
      </c>
      <c r="AO9" s="50">
        <f>SUM(AC9:AN9)</f>
        <v>66</v>
      </c>
      <c r="AP9" s="54">
        <f>ROUND(AN10*(1-Assumptions!I12^(1/12)),0)</f>
        <v>7</v>
      </c>
      <c r="AQ9" s="55">
        <f>ROUND(AP10*(1-Assumptions!I12^(1/12)),0)</f>
        <v>7</v>
      </c>
      <c r="AR9" s="54">
        <f>ROUND(AQ10*(1-Assumptions!I12^(1/12)),0)</f>
        <v>7</v>
      </c>
      <c r="AS9" s="55">
        <f>ROUND(AR10*(1-Assumptions!I12^(1/12)),0)</f>
        <v>7</v>
      </c>
      <c r="AT9" s="54">
        <f>ROUND(AS10*(1-Assumptions!I12^(1/12)),0)</f>
        <v>7</v>
      </c>
      <c r="AU9" s="55">
        <f>ROUND(AT10*(1-Assumptions!I12^(1/12)),0)</f>
        <v>8</v>
      </c>
      <c r="AV9" s="54">
        <f>ROUND(AU10*(1-Assumptions!I12^(1/12)),0)</f>
        <v>8</v>
      </c>
      <c r="AW9" s="55">
        <f>ROUND(AV10*(1-Assumptions!I12^(1/12)),0)</f>
        <v>8</v>
      </c>
      <c r="AX9" s="54">
        <f>ROUND(AW10*(1-Assumptions!I12^(1/12)),0)</f>
        <v>8</v>
      </c>
      <c r="AY9" s="55">
        <f>ROUND(AX10*(1-Assumptions!I12^(1/12)),0)</f>
        <v>8</v>
      </c>
      <c r="AZ9" s="54">
        <f>ROUND(AY10*(1-Assumptions!I12^(1/12)),0)</f>
        <v>9</v>
      </c>
      <c r="BA9" s="55">
        <f>ROUND(AZ10*(1-Assumptions!I12^(1/12)),0)</f>
        <v>9</v>
      </c>
      <c r="BB9" s="50">
        <f>SUM(AP9:BA9)</f>
        <v>93</v>
      </c>
      <c r="BC9" s="54">
        <f>ROUND(BA10*(1-Assumptions!I12^(1/12)),0)</f>
        <v>9</v>
      </c>
      <c r="BD9" s="55">
        <f>ROUND(BC10*(1-Assumptions!I12^(1/12)),0)</f>
        <v>9</v>
      </c>
      <c r="BE9" s="54">
        <f>ROUND(BD10*(1-Assumptions!I12^(1/12)),0)</f>
        <v>9</v>
      </c>
      <c r="BF9" s="55">
        <f>ROUND(BE10*(1-Assumptions!I12^(1/12)),0)</f>
        <v>9</v>
      </c>
      <c r="BG9" s="54">
        <f>ROUND(BF10*(1-Assumptions!I12^(1/12)),0)</f>
        <v>9</v>
      </c>
      <c r="BH9" s="55">
        <f>ROUND(BG10*(1-Assumptions!I12^(1/12)),0)</f>
        <v>10</v>
      </c>
      <c r="BI9" s="54">
        <f>ROUND(BH10*(1-Assumptions!I12^(1/12)),0)</f>
        <v>10</v>
      </c>
      <c r="BJ9" s="55">
        <f>ROUND(BI10*(1-Assumptions!I12^(1/12)),0)</f>
        <v>10</v>
      </c>
      <c r="BK9" s="54">
        <f>ROUND(BJ10*(1-Assumptions!I12^(1/12)),0)</f>
        <v>10</v>
      </c>
      <c r="BL9" s="55">
        <f>ROUND(BK10*(1-Assumptions!I12^(1/12)),0)</f>
        <v>10</v>
      </c>
      <c r="BM9" s="54">
        <f>ROUND(BL10*(1-Assumptions!I12^(1/12)),0)</f>
        <v>10</v>
      </c>
      <c r="BN9" s="55">
        <f>ROUND(BM10*(1-Assumptions!I12^(1/12)),0)</f>
        <v>11</v>
      </c>
      <c r="BO9" s="50">
        <f>SUM(BC9:BN9)</f>
        <v>116</v>
      </c>
    </row>
    <row r="10" spans="2:67" x14ac:dyDescent="0.2">
      <c r="B10" s="56" t="s">
        <v>223</v>
      </c>
      <c r="C10" s="57">
        <f t="shared" ref="C10:N10" si="5">C8-C9</f>
        <v>0</v>
      </c>
      <c r="D10" s="57">
        <f t="shared" si="5"/>
        <v>0</v>
      </c>
      <c r="E10" s="57">
        <f t="shared" si="5"/>
        <v>4.1666666666666661</v>
      </c>
      <c r="F10" s="57">
        <f t="shared" si="5"/>
        <v>12.499999999999998</v>
      </c>
      <c r="G10" s="57">
        <f t="shared" si="5"/>
        <v>25</v>
      </c>
      <c r="H10" s="57">
        <f t="shared" si="5"/>
        <v>41.666666666666664</v>
      </c>
      <c r="I10" s="57">
        <f t="shared" si="5"/>
        <v>62.5</v>
      </c>
      <c r="J10" s="57">
        <f t="shared" si="5"/>
        <v>86.5</v>
      </c>
      <c r="K10" s="57">
        <f t="shared" si="5"/>
        <v>110.5</v>
      </c>
      <c r="L10" s="57">
        <f t="shared" si="5"/>
        <v>134.5</v>
      </c>
      <c r="M10" s="57">
        <f t="shared" si="5"/>
        <v>158.5</v>
      </c>
      <c r="N10" s="57">
        <f t="shared" si="5"/>
        <v>181.5</v>
      </c>
      <c r="O10" s="50">
        <f>N10</f>
        <v>181.5</v>
      </c>
      <c r="P10" s="57">
        <f t="shared" ref="P10:AA10" si="6">P8-P9</f>
        <v>204.5</v>
      </c>
      <c r="Q10" s="57">
        <f t="shared" si="6"/>
        <v>227.5</v>
      </c>
      <c r="R10" s="57">
        <f t="shared" si="6"/>
        <v>250.5</v>
      </c>
      <c r="S10" s="57">
        <f t="shared" si="6"/>
        <v>273.5</v>
      </c>
      <c r="T10" s="57">
        <f t="shared" si="6"/>
        <v>295.5</v>
      </c>
      <c r="U10" s="57">
        <f t="shared" si="6"/>
        <v>317.5</v>
      </c>
      <c r="V10" s="57">
        <f t="shared" si="6"/>
        <v>339.5</v>
      </c>
      <c r="W10" s="57">
        <f t="shared" si="6"/>
        <v>361.5</v>
      </c>
      <c r="X10" s="57">
        <f t="shared" si="6"/>
        <v>382.5</v>
      </c>
      <c r="Y10" s="57">
        <f t="shared" si="6"/>
        <v>403.5</v>
      </c>
      <c r="Z10" s="57">
        <f t="shared" si="6"/>
        <v>424.5</v>
      </c>
      <c r="AA10" s="57">
        <f t="shared" si="6"/>
        <v>445.5</v>
      </c>
      <c r="AB10" s="50">
        <f>AA10</f>
        <v>445.5</v>
      </c>
      <c r="AC10" s="57">
        <f t="shared" ref="AC10:AN10" si="7">AC8-AC9</f>
        <v>466.5</v>
      </c>
      <c r="AD10" s="57">
        <f t="shared" si="7"/>
        <v>486.5</v>
      </c>
      <c r="AE10" s="57">
        <f t="shared" si="7"/>
        <v>506.5</v>
      </c>
      <c r="AF10" s="57">
        <f t="shared" si="7"/>
        <v>526.5</v>
      </c>
      <c r="AG10" s="57">
        <f t="shared" si="7"/>
        <v>546.5</v>
      </c>
      <c r="AH10" s="57">
        <f t="shared" si="7"/>
        <v>566.5</v>
      </c>
      <c r="AI10" s="57">
        <f t="shared" si="7"/>
        <v>585.5</v>
      </c>
      <c r="AJ10" s="57">
        <f t="shared" si="7"/>
        <v>604.5</v>
      </c>
      <c r="AK10" s="57">
        <f t="shared" si="7"/>
        <v>623.5</v>
      </c>
      <c r="AL10" s="57">
        <f t="shared" si="7"/>
        <v>642.5</v>
      </c>
      <c r="AM10" s="57">
        <f t="shared" si="7"/>
        <v>661.5</v>
      </c>
      <c r="AN10" s="57">
        <f t="shared" si="7"/>
        <v>679.5</v>
      </c>
      <c r="AO10" s="50">
        <f>AN10</f>
        <v>679.5</v>
      </c>
      <c r="AP10" s="57">
        <f t="shared" ref="AP10:BA10" si="8">AP8-AP9</f>
        <v>697.5</v>
      </c>
      <c r="AQ10" s="57">
        <f t="shared" si="8"/>
        <v>715.5</v>
      </c>
      <c r="AR10" s="57">
        <f t="shared" si="8"/>
        <v>733.5</v>
      </c>
      <c r="AS10" s="57">
        <f t="shared" si="8"/>
        <v>751.5</v>
      </c>
      <c r="AT10" s="57">
        <f t="shared" si="8"/>
        <v>769.5</v>
      </c>
      <c r="AU10" s="57">
        <f t="shared" si="8"/>
        <v>786.5</v>
      </c>
      <c r="AV10" s="57">
        <f t="shared" si="8"/>
        <v>803.5</v>
      </c>
      <c r="AW10" s="57">
        <f t="shared" si="8"/>
        <v>820.5</v>
      </c>
      <c r="AX10" s="57">
        <f t="shared" si="8"/>
        <v>837.5</v>
      </c>
      <c r="AY10" s="57">
        <f t="shared" si="8"/>
        <v>854.5</v>
      </c>
      <c r="AZ10" s="57">
        <f t="shared" si="8"/>
        <v>870.5</v>
      </c>
      <c r="BA10" s="57">
        <f t="shared" si="8"/>
        <v>886.5</v>
      </c>
      <c r="BB10" s="50">
        <f>BA10</f>
        <v>886.5</v>
      </c>
      <c r="BC10" s="57">
        <f t="shared" ref="BC10:BN10" si="9">BC8-BC9</f>
        <v>902.5</v>
      </c>
      <c r="BD10" s="57">
        <f t="shared" si="9"/>
        <v>918.5</v>
      </c>
      <c r="BE10" s="57">
        <f t="shared" si="9"/>
        <v>934.5</v>
      </c>
      <c r="BF10" s="57">
        <f t="shared" si="9"/>
        <v>950.5</v>
      </c>
      <c r="BG10" s="57">
        <f t="shared" si="9"/>
        <v>966.5</v>
      </c>
      <c r="BH10" s="57">
        <f t="shared" si="9"/>
        <v>981.5</v>
      </c>
      <c r="BI10" s="57">
        <f t="shared" si="9"/>
        <v>996.5</v>
      </c>
      <c r="BJ10" s="57">
        <f t="shared" si="9"/>
        <v>1011.5</v>
      </c>
      <c r="BK10" s="57">
        <f t="shared" si="9"/>
        <v>1026.5</v>
      </c>
      <c r="BL10" s="57">
        <f t="shared" si="9"/>
        <v>1041.5</v>
      </c>
      <c r="BM10" s="57">
        <f t="shared" si="9"/>
        <v>1056.5</v>
      </c>
      <c r="BN10" s="57">
        <f t="shared" si="9"/>
        <v>1070.5</v>
      </c>
      <c r="BO10" s="50">
        <f>BN10</f>
        <v>1070.5</v>
      </c>
    </row>
    <row r="12" spans="2:67" x14ac:dyDescent="0.2">
      <c r="B12" s="11" t="s">
        <v>224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row>
    <row r="13" spans="2:67" x14ac:dyDescent="0.2">
      <c r="B13" s="51" t="s">
        <v>225</v>
      </c>
      <c r="C13" s="40">
        <f>C6*Assumptions!G12</f>
        <v>0</v>
      </c>
      <c r="D13" s="58">
        <f>D6*Assumptions!G12</f>
        <v>0</v>
      </c>
      <c r="E13" s="40">
        <f>E6*Assumptions!G12</f>
        <v>8976.4492753623181</v>
      </c>
      <c r="F13" s="58">
        <f>F6*Assumptions!G12</f>
        <v>17952.898550724636</v>
      </c>
      <c r="G13" s="40">
        <f>G6*Assumptions!G12</f>
        <v>26929.347826086956</v>
      </c>
      <c r="H13" s="58">
        <f>H6*Assumptions!G12</f>
        <v>35905.797101449272</v>
      </c>
      <c r="I13" s="40">
        <f>I6*Assumptions!G12</f>
        <v>44882.246376811599</v>
      </c>
      <c r="J13" s="58">
        <f>J6*Assumptions!G12</f>
        <v>53858.695652173912</v>
      </c>
      <c r="K13" s="40">
        <f>K6*Assumptions!G12</f>
        <v>53858.695652173912</v>
      </c>
      <c r="L13" s="58">
        <f>L6*Assumptions!G12</f>
        <v>53858.695652173912</v>
      </c>
      <c r="M13" s="40">
        <f>M6*Assumptions!G12</f>
        <v>53858.695652173912</v>
      </c>
      <c r="N13" s="58">
        <f>N6*Assumptions!G12</f>
        <v>53858.695652173912</v>
      </c>
      <c r="O13" s="59">
        <f>SUM(C13:N13)</f>
        <v>403940.21739130426</v>
      </c>
      <c r="P13" s="40">
        <f>P6*Assumptions!G12</f>
        <v>53858.695652173912</v>
      </c>
      <c r="Q13" s="58">
        <f>Q6*Assumptions!G12</f>
        <v>53858.695652173912</v>
      </c>
      <c r="R13" s="40">
        <f>R6*Assumptions!G12</f>
        <v>53858.695652173912</v>
      </c>
      <c r="S13" s="58">
        <f>S6*Assumptions!G12</f>
        <v>53858.695652173912</v>
      </c>
      <c r="T13" s="40">
        <f>T6*Assumptions!G12</f>
        <v>53858.695652173912</v>
      </c>
      <c r="U13" s="58">
        <f>U6*Assumptions!G12</f>
        <v>53858.695652173912</v>
      </c>
      <c r="V13" s="40">
        <f>V6*Assumptions!G12</f>
        <v>53858.695652173912</v>
      </c>
      <c r="W13" s="58">
        <f>W6*Assumptions!G12</f>
        <v>53858.695652173912</v>
      </c>
      <c r="X13" s="40">
        <f>X6*Assumptions!G12</f>
        <v>53858.695652173912</v>
      </c>
      <c r="Y13" s="58">
        <f>Y6*Assumptions!G12</f>
        <v>53858.695652173912</v>
      </c>
      <c r="Z13" s="40">
        <f>Z6*Assumptions!G12</f>
        <v>53858.695652173912</v>
      </c>
      <c r="AA13" s="58">
        <f>AA6*Assumptions!G12</f>
        <v>53858.695652173912</v>
      </c>
      <c r="AB13" s="59">
        <f>SUM(P13:AA13)</f>
        <v>646304.34782608692</v>
      </c>
      <c r="AC13" s="40">
        <f>AC6*Assumptions!G12</f>
        <v>53858.695652173912</v>
      </c>
      <c r="AD13" s="58">
        <f>AD6*Assumptions!G12</f>
        <v>53858.695652173912</v>
      </c>
      <c r="AE13" s="40">
        <f>AE6*Assumptions!G12</f>
        <v>53858.695652173912</v>
      </c>
      <c r="AF13" s="58">
        <f>AF6*Assumptions!G12</f>
        <v>53858.695652173912</v>
      </c>
      <c r="AG13" s="40">
        <f>AG6*Assumptions!G12</f>
        <v>53858.695652173912</v>
      </c>
      <c r="AH13" s="58">
        <f>AH6*Assumptions!G12</f>
        <v>53858.695652173912</v>
      </c>
      <c r="AI13" s="40">
        <f>AI6*Assumptions!G12</f>
        <v>53858.695652173912</v>
      </c>
      <c r="AJ13" s="58">
        <f>AJ6*Assumptions!G12</f>
        <v>53858.695652173912</v>
      </c>
      <c r="AK13" s="40">
        <f>AK6*Assumptions!G12</f>
        <v>53858.695652173912</v>
      </c>
      <c r="AL13" s="58">
        <f>AL6*Assumptions!G12</f>
        <v>53858.695652173912</v>
      </c>
      <c r="AM13" s="40">
        <f>AM6*Assumptions!G12</f>
        <v>53858.695652173912</v>
      </c>
      <c r="AN13" s="58">
        <f>AN6*Assumptions!G12</f>
        <v>53858.695652173912</v>
      </c>
      <c r="AO13" s="59">
        <f>SUM(AC13:AN13)</f>
        <v>646304.34782608692</v>
      </c>
      <c r="AP13" s="40">
        <f>AP6*Assumptions!G12</f>
        <v>53858.695652173912</v>
      </c>
      <c r="AQ13" s="58">
        <f>AQ6*Assumptions!G12</f>
        <v>53858.695652173912</v>
      </c>
      <c r="AR13" s="40">
        <f>AR6*Assumptions!G12</f>
        <v>53858.695652173912</v>
      </c>
      <c r="AS13" s="58">
        <f>AS6*Assumptions!G12</f>
        <v>53858.695652173912</v>
      </c>
      <c r="AT13" s="40">
        <f>AT6*Assumptions!G12</f>
        <v>53858.695652173912</v>
      </c>
      <c r="AU13" s="58">
        <f>AU6*Assumptions!G12</f>
        <v>53858.695652173912</v>
      </c>
      <c r="AV13" s="40">
        <f>AV6*Assumptions!G12</f>
        <v>53858.695652173912</v>
      </c>
      <c r="AW13" s="58">
        <f>AW6*Assumptions!G12</f>
        <v>53858.695652173912</v>
      </c>
      <c r="AX13" s="40">
        <f>AX6*Assumptions!G12</f>
        <v>53858.695652173912</v>
      </c>
      <c r="AY13" s="58">
        <f>AY6*Assumptions!G12</f>
        <v>53858.695652173912</v>
      </c>
      <c r="AZ13" s="40">
        <f>AZ6*Assumptions!G12</f>
        <v>53858.695652173912</v>
      </c>
      <c r="BA13" s="58">
        <f>BA6*Assumptions!G12</f>
        <v>53858.695652173912</v>
      </c>
      <c r="BB13" s="59">
        <f>SUM(AP13:BA13)</f>
        <v>646304.34782608692</v>
      </c>
      <c r="BC13" s="40">
        <f>BC6*Assumptions!G12</f>
        <v>53858.695652173912</v>
      </c>
      <c r="BD13" s="58">
        <f>BD6*Assumptions!G12</f>
        <v>53858.695652173912</v>
      </c>
      <c r="BE13" s="40">
        <f>BE6*Assumptions!G12</f>
        <v>53858.695652173912</v>
      </c>
      <c r="BF13" s="58">
        <f>BF6*Assumptions!G12</f>
        <v>53858.695652173912</v>
      </c>
      <c r="BG13" s="40">
        <f>BG6*Assumptions!G12</f>
        <v>53858.695652173912</v>
      </c>
      <c r="BH13" s="58">
        <f>BH6*Assumptions!G12</f>
        <v>53858.695652173912</v>
      </c>
      <c r="BI13" s="40">
        <f>BI6*Assumptions!G12</f>
        <v>53858.695652173912</v>
      </c>
      <c r="BJ13" s="58">
        <f>BJ6*Assumptions!G12</f>
        <v>53858.695652173912</v>
      </c>
      <c r="BK13" s="40">
        <f>BK6*Assumptions!G12</f>
        <v>53858.695652173912</v>
      </c>
      <c r="BL13" s="58">
        <f>BL6*Assumptions!G12</f>
        <v>53858.695652173912</v>
      </c>
      <c r="BM13" s="40">
        <f>BM6*Assumptions!G12</f>
        <v>53858.695652173912</v>
      </c>
      <c r="BN13" s="58">
        <f>BN6*Assumptions!G12</f>
        <v>53858.695652173912</v>
      </c>
      <c r="BO13" s="59">
        <f>SUM(BC13:BN13)</f>
        <v>646304.34782608692</v>
      </c>
    </row>
    <row r="14" spans="2:67" x14ac:dyDescent="0.2">
      <c r="B14" s="51" t="s">
        <v>226</v>
      </c>
      <c r="C14" s="40">
        <f>IF(Assumptions!C11="Yes",Assumptions!C12,0)</f>
        <v>0</v>
      </c>
      <c r="D14" s="58">
        <v>0</v>
      </c>
      <c r="E14" s="40">
        <v>0</v>
      </c>
      <c r="F14" s="58">
        <v>0</v>
      </c>
      <c r="G14" s="40">
        <v>0</v>
      </c>
      <c r="H14" s="58">
        <v>0</v>
      </c>
      <c r="I14" s="40">
        <v>0</v>
      </c>
      <c r="J14" s="58">
        <v>0</v>
      </c>
      <c r="K14" s="40">
        <v>0</v>
      </c>
      <c r="L14" s="58">
        <v>0</v>
      </c>
      <c r="M14" s="40">
        <v>0</v>
      </c>
      <c r="N14" s="58">
        <v>0</v>
      </c>
      <c r="O14" s="59">
        <f>SUM(C14:N14)</f>
        <v>0</v>
      </c>
      <c r="P14" s="40">
        <v>0</v>
      </c>
      <c r="Q14" s="58">
        <v>0</v>
      </c>
      <c r="R14" s="40">
        <v>0</v>
      </c>
      <c r="S14" s="58">
        <v>0</v>
      </c>
      <c r="T14" s="40">
        <v>0</v>
      </c>
      <c r="U14" s="58">
        <v>0</v>
      </c>
      <c r="V14" s="40">
        <v>0</v>
      </c>
      <c r="W14" s="58">
        <v>0</v>
      </c>
      <c r="X14" s="40">
        <v>0</v>
      </c>
      <c r="Y14" s="58">
        <v>0</v>
      </c>
      <c r="Z14" s="40">
        <v>0</v>
      </c>
      <c r="AA14" s="58">
        <v>0</v>
      </c>
      <c r="AB14" s="59">
        <f>SUM(P14:AA14)</f>
        <v>0</v>
      </c>
      <c r="AC14" s="40">
        <v>0</v>
      </c>
      <c r="AD14" s="58">
        <v>0</v>
      </c>
      <c r="AE14" s="40">
        <v>0</v>
      </c>
      <c r="AF14" s="58">
        <v>0</v>
      </c>
      <c r="AG14" s="40">
        <v>0</v>
      </c>
      <c r="AH14" s="58">
        <v>0</v>
      </c>
      <c r="AI14" s="40">
        <v>0</v>
      </c>
      <c r="AJ14" s="58">
        <v>0</v>
      </c>
      <c r="AK14" s="40">
        <v>0</v>
      </c>
      <c r="AL14" s="58">
        <v>0</v>
      </c>
      <c r="AM14" s="40">
        <v>0</v>
      </c>
      <c r="AN14" s="58">
        <v>0</v>
      </c>
      <c r="AO14" s="59">
        <f>SUM(AC14:AN14)</f>
        <v>0</v>
      </c>
      <c r="AP14" s="40">
        <v>0</v>
      </c>
      <c r="AQ14" s="58">
        <v>0</v>
      </c>
      <c r="AR14" s="40">
        <v>0</v>
      </c>
      <c r="AS14" s="58">
        <v>0</v>
      </c>
      <c r="AT14" s="40">
        <v>0</v>
      </c>
      <c r="AU14" s="58">
        <v>0</v>
      </c>
      <c r="AV14" s="40">
        <v>0</v>
      </c>
      <c r="AW14" s="58">
        <v>0</v>
      </c>
      <c r="AX14" s="40">
        <v>0</v>
      </c>
      <c r="AY14" s="58">
        <v>0</v>
      </c>
      <c r="AZ14" s="40">
        <v>0</v>
      </c>
      <c r="BA14" s="58">
        <v>0</v>
      </c>
      <c r="BB14" s="59">
        <f>SUM(AP14:BA14)</f>
        <v>0</v>
      </c>
      <c r="BC14" s="40">
        <v>0</v>
      </c>
      <c r="BD14" s="58">
        <v>0</v>
      </c>
      <c r="BE14" s="40">
        <v>0</v>
      </c>
      <c r="BF14" s="58">
        <v>0</v>
      </c>
      <c r="BG14" s="40">
        <v>0</v>
      </c>
      <c r="BH14" s="58">
        <v>0</v>
      </c>
      <c r="BI14" s="40">
        <v>0</v>
      </c>
      <c r="BJ14" s="58">
        <v>0</v>
      </c>
      <c r="BK14" s="40">
        <v>0</v>
      </c>
      <c r="BL14" s="58">
        <v>0</v>
      </c>
      <c r="BM14" s="40">
        <v>0</v>
      </c>
      <c r="BN14" s="58">
        <v>0</v>
      </c>
      <c r="BO14" s="59">
        <f>SUM(BC14:BN14)</f>
        <v>0</v>
      </c>
    </row>
    <row r="15" spans="2:67" x14ac:dyDescent="0.2">
      <c r="B15" s="56" t="s">
        <v>227</v>
      </c>
      <c r="C15" s="60">
        <f>C10*Assumptions!G12</f>
        <v>0</v>
      </c>
      <c r="D15" s="60">
        <f>D10*Assumptions!G12</f>
        <v>0</v>
      </c>
      <c r="E15" s="60">
        <f>E10*Assumptions!G12</f>
        <v>8976.4492753623181</v>
      </c>
      <c r="F15" s="60">
        <f>F10*Assumptions!G12</f>
        <v>26929.347826086952</v>
      </c>
      <c r="G15" s="60">
        <f>G10*Assumptions!G12</f>
        <v>53858.695652173912</v>
      </c>
      <c r="H15" s="60">
        <f>H10*Assumptions!G12</f>
        <v>89764.492753623184</v>
      </c>
      <c r="I15" s="60">
        <f>I10*Assumptions!G12</f>
        <v>134646.73913043478</v>
      </c>
      <c r="J15" s="60">
        <f>J10*Assumptions!G12</f>
        <v>186351.08695652173</v>
      </c>
      <c r="K15" s="60">
        <f>K10*Assumptions!G12</f>
        <v>238055.4347826087</v>
      </c>
      <c r="L15" s="60">
        <f>L10*Assumptions!G12</f>
        <v>289759.78260869568</v>
      </c>
      <c r="M15" s="60">
        <f>M10*Assumptions!G12</f>
        <v>341464.13043478259</v>
      </c>
      <c r="N15" s="60">
        <f>N10*Assumptions!G12</f>
        <v>391014.13043478259</v>
      </c>
      <c r="O15" s="59">
        <f>N15</f>
        <v>391014.13043478259</v>
      </c>
      <c r="P15" s="60">
        <f>P10*Assumptions!G12</f>
        <v>440564.13043478259</v>
      </c>
      <c r="Q15" s="60">
        <f>Q10*Assumptions!G12</f>
        <v>490114.13043478259</v>
      </c>
      <c r="R15" s="60">
        <f>R10*Assumptions!G12</f>
        <v>539664.13043478259</v>
      </c>
      <c r="S15" s="60">
        <f>S10*Assumptions!G12</f>
        <v>589214.13043478259</v>
      </c>
      <c r="T15" s="60">
        <f>T10*Assumptions!G12</f>
        <v>636609.78260869568</v>
      </c>
      <c r="U15" s="60">
        <f>U10*Assumptions!G12</f>
        <v>684005.43478260865</v>
      </c>
      <c r="V15" s="60">
        <f>V10*Assumptions!G12</f>
        <v>731401.08695652173</v>
      </c>
      <c r="W15" s="60">
        <f>W10*Assumptions!G12</f>
        <v>778796.73913043481</v>
      </c>
      <c r="X15" s="60">
        <f>X10*Assumptions!G12</f>
        <v>824038.04347826086</v>
      </c>
      <c r="Y15" s="60">
        <f>Y10*Assumptions!G12</f>
        <v>869279.34782608692</v>
      </c>
      <c r="Z15" s="60">
        <f>Z10*Assumptions!G12</f>
        <v>914520.65217391308</v>
      </c>
      <c r="AA15" s="60">
        <f>AA10*Assumptions!G12</f>
        <v>959761.95652173914</v>
      </c>
      <c r="AB15" s="59">
        <f>AA15</f>
        <v>959761.95652173914</v>
      </c>
      <c r="AC15" s="60">
        <f>AC10*Assumptions!G12</f>
        <v>1005003.2608695652</v>
      </c>
      <c r="AD15" s="60">
        <f>AD10*Assumptions!G12</f>
        <v>1048090.2173913043</v>
      </c>
      <c r="AE15" s="60">
        <f>AE10*Assumptions!G12</f>
        <v>1091177.1739130435</v>
      </c>
      <c r="AF15" s="60">
        <f>AF10*Assumptions!G12</f>
        <v>1134264.1304347827</v>
      </c>
      <c r="AG15" s="60">
        <f>AG10*Assumptions!G12</f>
        <v>1177351.0869565217</v>
      </c>
      <c r="AH15" s="60">
        <f>AH10*Assumptions!G12</f>
        <v>1220438.0434782607</v>
      </c>
      <c r="AI15" s="60">
        <f>AI10*Assumptions!G12</f>
        <v>1261370.6521739131</v>
      </c>
      <c r="AJ15" s="60">
        <f>AJ10*Assumptions!G12</f>
        <v>1302303.2608695652</v>
      </c>
      <c r="AK15" s="60">
        <f>AK10*Assumptions!G12</f>
        <v>1343235.8695652173</v>
      </c>
      <c r="AL15" s="60">
        <f>AL10*Assumptions!G12</f>
        <v>1384168.4782608696</v>
      </c>
      <c r="AM15" s="60">
        <f>AM10*Assumptions!G12</f>
        <v>1425101.0869565217</v>
      </c>
      <c r="AN15" s="60">
        <f>AN10*Assumptions!G12</f>
        <v>1463879.3478260869</v>
      </c>
      <c r="AO15" s="59">
        <f>AN15</f>
        <v>1463879.3478260869</v>
      </c>
      <c r="AP15" s="60">
        <f>AP10*Assumptions!G12</f>
        <v>1502657.6086956521</v>
      </c>
      <c r="AQ15" s="60">
        <f>AQ10*Assumptions!G12</f>
        <v>1541435.8695652173</v>
      </c>
      <c r="AR15" s="60">
        <f>AR10*Assumptions!G12</f>
        <v>1580214.1304347827</v>
      </c>
      <c r="AS15" s="60">
        <f>AS10*Assumptions!G12</f>
        <v>1618992.3913043479</v>
      </c>
      <c r="AT15" s="60">
        <f>AT10*Assumptions!G12</f>
        <v>1657770.6521739131</v>
      </c>
      <c r="AU15" s="60">
        <f>AU10*Assumptions!G12</f>
        <v>1694394.5652173914</v>
      </c>
      <c r="AV15" s="60">
        <f>AV10*Assumptions!G12</f>
        <v>1731018.4782608696</v>
      </c>
      <c r="AW15" s="60">
        <f>AW10*Assumptions!G12</f>
        <v>1767642.3913043479</v>
      </c>
      <c r="AX15" s="60">
        <f>AX10*Assumptions!G12</f>
        <v>1804266.3043478262</v>
      </c>
      <c r="AY15" s="60">
        <f>AY10*Assumptions!G12</f>
        <v>1840890.2173913044</v>
      </c>
      <c r="AZ15" s="60">
        <f>AZ10*Assumptions!G12</f>
        <v>1875359.7826086956</v>
      </c>
      <c r="BA15" s="60">
        <f>BA10*Assumptions!G12</f>
        <v>1909829.3478260869</v>
      </c>
      <c r="BB15" s="59">
        <f>BA15</f>
        <v>1909829.3478260869</v>
      </c>
      <c r="BC15" s="60">
        <f>BC10*Assumptions!G12</f>
        <v>1944298.9130434783</v>
      </c>
      <c r="BD15" s="60">
        <f>BD10*Assumptions!G12</f>
        <v>1978768.4782608696</v>
      </c>
      <c r="BE15" s="60">
        <f>BE10*Assumptions!G12</f>
        <v>2013238.0434782607</v>
      </c>
      <c r="BF15" s="60">
        <f>BF10*Assumptions!G12</f>
        <v>2047707.6086956521</v>
      </c>
      <c r="BG15" s="60">
        <f>BG10*Assumptions!G12</f>
        <v>2082177.1739130435</v>
      </c>
      <c r="BH15" s="60">
        <f>BH10*Assumptions!G12</f>
        <v>2114492.3913043477</v>
      </c>
      <c r="BI15" s="60">
        <f>BI10*Assumptions!G12</f>
        <v>2146807.6086956523</v>
      </c>
      <c r="BJ15" s="60">
        <f>BJ10*Assumptions!G12</f>
        <v>2179122.8260869565</v>
      </c>
      <c r="BK15" s="60">
        <f>BK10*Assumptions!G12</f>
        <v>2211438.0434782607</v>
      </c>
      <c r="BL15" s="60">
        <f>BL10*Assumptions!G12</f>
        <v>2243753.2608695654</v>
      </c>
      <c r="BM15" s="60">
        <f>BM10*Assumptions!G12</f>
        <v>2276068.4782608696</v>
      </c>
      <c r="BN15" s="60">
        <f>BN10*Assumptions!G12</f>
        <v>2306229.3478260869</v>
      </c>
      <c r="BO15" s="59">
        <f>BN15</f>
        <v>2306229.3478260869</v>
      </c>
    </row>
    <row r="17" spans="2:67" x14ac:dyDescent="0.2">
      <c r="B17" s="11" t="s">
        <v>228</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row>
    <row r="18" spans="2:67" x14ac:dyDescent="0.2">
      <c r="B18" s="51" t="s">
        <v>229</v>
      </c>
      <c r="C18" s="40">
        <v>0</v>
      </c>
      <c r="D18" s="58">
        <v>0</v>
      </c>
      <c r="E18" s="40">
        <v>0</v>
      </c>
      <c r="F18" s="58">
        <v>0</v>
      </c>
      <c r="G18" s="40">
        <v>0</v>
      </c>
      <c r="H18" s="58">
        <v>0</v>
      </c>
      <c r="I18" s="40">
        <v>0</v>
      </c>
      <c r="J18" s="58">
        <v>0</v>
      </c>
      <c r="K18" s="40">
        <v>0</v>
      </c>
      <c r="L18" s="58">
        <v>0</v>
      </c>
      <c r="M18" s="40">
        <v>0</v>
      </c>
      <c r="N18" s="58">
        <v>0</v>
      </c>
      <c r="O18" s="59">
        <f>SUM(C18:N18)</f>
        <v>0</v>
      </c>
      <c r="P18" s="40">
        <f>(C13+C18)*Assumptions!I12</f>
        <v>0</v>
      </c>
      <c r="Q18" s="58">
        <f>(D13+D18)*Assumptions!I12</f>
        <v>0</v>
      </c>
      <c r="R18" s="40">
        <f>(E13+E18)*Assumptions!I12</f>
        <v>7959.6920289855061</v>
      </c>
      <c r="S18" s="58">
        <f>(F13+F18)*Assumptions!I12</f>
        <v>15919.384057971012</v>
      </c>
      <c r="T18" s="40">
        <f>(G13+G18)*Assumptions!I12</f>
        <v>23879.07608695652</v>
      </c>
      <c r="U18" s="58">
        <f>(H13+H18)*Assumptions!I12</f>
        <v>31838.768115942024</v>
      </c>
      <c r="V18" s="40">
        <f>(I13+I18)*Assumptions!I12</f>
        <v>39798.460144927536</v>
      </c>
      <c r="W18" s="58">
        <f>(J13+J18)*Assumptions!I12</f>
        <v>47758.15217391304</v>
      </c>
      <c r="X18" s="40">
        <f>(K13+K18)*Assumptions!I12</f>
        <v>47758.15217391304</v>
      </c>
      <c r="Y18" s="58">
        <f>(L13+L18)*Assumptions!I12</f>
        <v>47758.15217391304</v>
      </c>
      <c r="Z18" s="40">
        <f>(M13+M18)*Assumptions!I12</f>
        <v>47758.15217391304</v>
      </c>
      <c r="AA18" s="58">
        <f>(N13+N18)*Assumptions!I12</f>
        <v>47758.15217391304</v>
      </c>
      <c r="AB18" s="59">
        <f>SUM(P18:AA18)</f>
        <v>358186.14130434778</v>
      </c>
      <c r="AC18" s="40">
        <f>(P13+P18)*Assumptions!I12</f>
        <v>47758.15217391304</v>
      </c>
      <c r="AD18" s="58">
        <f>(Q13+Q18)*Assumptions!I12</f>
        <v>47758.15217391304</v>
      </c>
      <c r="AE18" s="40">
        <f>(R13+R18)*Assumptions!I12</f>
        <v>54816.254465003869</v>
      </c>
      <c r="AF18" s="58">
        <f>(S13+S18)*Assumptions!I12</f>
        <v>61874.356756094705</v>
      </c>
      <c r="AG18" s="40">
        <f>(T13+T18)*Assumptions!I12</f>
        <v>68932.459047185534</v>
      </c>
      <c r="AH18" s="58">
        <f>(U13+U18)*Assumptions!I12</f>
        <v>75990.561338276369</v>
      </c>
      <c r="AI18" s="40">
        <f>(V13+V18)*Assumptions!I12</f>
        <v>83048.663629367191</v>
      </c>
      <c r="AJ18" s="58">
        <f>(W13+W18)*Assumptions!I12</f>
        <v>90106.765920458027</v>
      </c>
      <c r="AK18" s="40">
        <f>(X13+X18)*Assumptions!I12</f>
        <v>90106.765920458027</v>
      </c>
      <c r="AL18" s="58">
        <f>(Y13+Y18)*Assumptions!I12</f>
        <v>90106.765920458027</v>
      </c>
      <c r="AM18" s="40">
        <f>(Z13+Z18)*Assumptions!I12</f>
        <v>90106.765920458027</v>
      </c>
      <c r="AN18" s="58">
        <f>(AA13+AA18)*Assumptions!I12</f>
        <v>90106.765920458027</v>
      </c>
      <c r="AO18" s="59">
        <f>SUM(AC18:AN18)</f>
        <v>890712.4291860438</v>
      </c>
      <c r="AP18" s="40">
        <f>(AC13+AC18)*Assumptions!I12</f>
        <v>90106.765920458027</v>
      </c>
      <c r="AQ18" s="58">
        <f>(AD13+AD18)*Assumptions!I12</f>
        <v>90106.765920458027</v>
      </c>
      <c r="AR18" s="40">
        <f>(AE13+AE18)*Assumptions!I12</f>
        <v>96365.401024692197</v>
      </c>
      <c r="AS18" s="58">
        <f>(AF13+AF18)*Assumptions!I12</f>
        <v>102624.03612892638</v>
      </c>
      <c r="AT18" s="40">
        <f>(AG13+AG18)*Assumptions!I12</f>
        <v>108882.67123316055</v>
      </c>
      <c r="AU18" s="58">
        <f>(AH13+AH18)*Assumptions!I12</f>
        <v>115141.30633739474</v>
      </c>
      <c r="AV18" s="40">
        <f>(AI13+AI18)*Assumptions!I12</f>
        <v>121399.94144162891</v>
      </c>
      <c r="AW18" s="58">
        <f>(AJ13+AJ18)*Assumptions!I12</f>
        <v>127658.57654586308</v>
      </c>
      <c r="AX18" s="40">
        <f>(AK13+AK18)*Assumptions!I12</f>
        <v>127658.57654586308</v>
      </c>
      <c r="AY18" s="58">
        <f>(AL13+AL18)*Assumptions!I12</f>
        <v>127658.57654586308</v>
      </c>
      <c r="AZ18" s="40">
        <f>(AM13+AM18)*Assumptions!I12</f>
        <v>127658.57654586308</v>
      </c>
      <c r="BA18" s="58">
        <f>(AN13+AN18)*Assumptions!I12</f>
        <v>127658.57654586308</v>
      </c>
      <c r="BB18" s="59">
        <f>SUM(AP18:BA18)</f>
        <v>1362919.7707360345</v>
      </c>
      <c r="BC18" s="40">
        <f>(AP13+AP18)*Assumptions!I12</f>
        <v>127658.57654586308</v>
      </c>
      <c r="BD18" s="58">
        <f>(AQ13+AQ18)*Assumptions!I12</f>
        <v>127658.57654586308</v>
      </c>
      <c r="BE18" s="40">
        <f>(AR13+AR18)*Assumptions!I12</f>
        <v>133208.29965166104</v>
      </c>
      <c r="BF18" s="58">
        <f>(AS13+AS18)*Assumptions!I12</f>
        <v>138758.02275745902</v>
      </c>
      <c r="BG18" s="40">
        <f>(AT13+AT18)*Assumptions!I12</f>
        <v>144307.74586325695</v>
      </c>
      <c r="BH18" s="58">
        <f>(AU13+AU18)*Assumptions!I12</f>
        <v>149857.46896905493</v>
      </c>
      <c r="BI18" s="40">
        <f>(AV13+AV18)*Assumptions!I12</f>
        <v>155407.19207485291</v>
      </c>
      <c r="BJ18" s="58">
        <f>(AW13+AW18)*Assumptions!I12</f>
        <v>160956.91518065086</v>
      </c>
      <c r="BK18" s="40">
        <f>(AX13+AX18)*Assumptions!I12</f>
        <v>160956.91518065086</v>
      </c>
      <c r="BL18" s="58">
        <f>(AY13+AY18)*Assumptions!I12</f>
        <v>160956.91518065086</v>
      </c>
      <c r="BM18" s="40">
        <f>(AZ13+AZ18)*Assumptions!I12</f>
        <v>160956.91518065086</v>
      </c>
      <c r="BN18" s="58">
        <f>(BA13+BA18)*Assumptions!I12</f>
        <v>160956.91518065086</v>
      </c>
      <c r="BO18" s="59">
        <f>SUM(BC18:BN18)</f>
        <v>1781640.4583112651</v>
      </c>
    </row>
    <row r="19" spans="2:67" x14ac:dyDescent="0.2">
      <c r="B19" s="51" t="s">
        <v>230</v>
      </c>
      <c r="C19" s="40">
        <f>(C13+C18)*Assumptions!H12+C14/12*Assumptions!C15</f>
        <v>0</v>
      </c>
      <c r="D19" s="58">
        <f>(D13+D18)*Assumptions!H12</f>
        <v>0</v>
      </c>
      <c r="E19" s="40">
        <f>(E13+E18)*Assumptions!H12</f>
        <v>1210.5978260869563</v>
      </c>
      <c r="F19" s="58">
        <f>(F13+F18)*Assumptions!H12</f>
        <v>2421.1956521739125</v>
      </c>
      <c r="G19" s="40">
        <f>(G13+G18)*Assumptions!H12</f>
        <v>3631.7934782608695</v>
      </c>
      <c r="H19" s="58">
        <f>(H13+H18)*Assumptions!H12</f>
        <v>4842.3913043478251</v>
      </c>
      <c r="I19" s="40">
        <f>(I13+I18)*Assumptions!H12</f>
        <v>6052.989130434783</v>
      </c>
      <c r="J19" s="58">
        <f>(J13+J18)*Assumptions!H12</f>
        <v>7263.586956521739</v>
      </c>
      <c r="K19" s="40">
        <f>(K13+K18)*Assumptions!H12</f>
        <v>7263.586956521739</v>
      </c>
      <c r="L19" s="58">
        <f>(L13+L18)*Assumptions!H12</f>
        <v>7263.586956521739</v>
      </c>
      <c r="M19" s="40">
        <f>(M13+M18)*Assumptions!H12</f>
        <v>7263.586956521739</v>
      </c>
      <c r="N19" s="58">
        <f>(N13+N18)*Assumptions!H12</f>
        <v>7263.586956521739</v>
      </c>
      <c r="O19" s="59">
        <f>SUM(C19:N19)</f>
        <v>54476.90217391304</v>
      </c>
      <c r="P19" s="40">
        <f>(P13+P18)*Assumptions!H12</f>
        <v>7263.586956521739</v>
      </c>
      <c r="Q19" s="58">
        <f>(Q13+Q18)*Assumptions!H12</f>
        <v>7263.586956521739</v>
      </c>
      <c r="R19" s="40">
        <f>(R13+R18)*Assumptions!H12</f>
        <v>8337.0610631553536</v>
      </c>
      <c r="S19" s="58">
        <f>(S13+S18)*Assumptions!H12</f>
        <v>9410.5351697889691</v>
      </c>
      <c r="T19" s="40">
        <f>(T13+T18)*Assumptions!H12</f>
        <v>10484.009276422585</v>
      </c>
      <c r="U19" s="58">
        <f>(U13+U18)*Assumptions!H12</f>
        <v>11557.4833830562</v>
      </c>
      <c r="V19" s="40">
        <f>(V13+V18)*Assumptions!H12</f>
        <v>12630.957489689816</v>
      </c>
      <c r="W19" s="58">
        <f>(W13+W18)*Assumptions!H12</f>
        <v>13704.431596323431</v>
      </c>
      <c r="X19" s="40">
        <f>(X13+X18)*Assumptions!H12</f>
        <v>13704.431596323431</v>
      </c>
      <c r="Y19" s="58">
        <f>(Y13+Y18)*Assumptions!H12</f>
        <v>13704.431596323431</v>
      </c>
      <c r="Z19" s="40">
        <f>(Z13+Z18)*Assumptions!H12</f>
        <v>13704.431596323431</v>
      </c>
      <c r="AA19" s="58">
        <f>(AA13+AA18)*Assumptions!H12</f>
        <v>13704.431596323431</v>
      </c>
      <c r="AB19" s="59">
        <f>SUM(P19:AA19)</f>
        <v>135469.37827677352</v>
      </c>
      <c r="AC19" s="40">
        <f>(AC13+AC18)*Assumptions!H12</f>
        <v>13704.431596323431</v>
      </c>
      <c r="AD19" s="58">
        <f>(AD13+AD18)*Assumptions!H12</f>
        <v>13704.431596323431</v>
      </c>
      <c r="AE19" s="40">
        <f>(AE13+AE18)*Assumptions!H12</f>
        <v>14656.313908335833</v>
      </c>
      <c r="AF19" s="58">
        <f>(AF13+AF18)*Assumptions!H12</f>
        <v>15608.196220348234</v>
      </c>
      <c r="AG19" s="40">
        <f>(AG13+AG18)*Assumptions!H12</f>
        <v>16560.078532360632</v>
      </c>
      <c r="AH19" s="58">
        <f>(AH13+AH18)*Assumptions!H12</f>
        <v>17511.960844373036</v>
      </c>
      <c r="AI19" s="40">
        <f>(AI13+AI18)*Assumptions!H12</f>
        <v>18463.843156385436</v>
      </c>
      <c r="AJ19" s="58">
        <f>(AJ13+AJ18)*Assumptions!H12</f>
        <v>19415.725468397835</v>
      </c>
      <c r="AK19" s="40">
        <f>(AK13+AK18)*Assumptions!H12</f>
        <v>19415.725468397835</v>
      </c>
      <c r="AL19" s="58">
        <f>(AL13+AL18)*Assumptions!H12</f>
        <v>19415.725468397835</v>
      </c>
      <c r="AM19" s="40">
        <f>(AM13+AM18)*Assumptions!H12</f>
        <v>19415.725468397835</v>
      </c>
      <c r="AN19" s="58">
        <f>(AN13+AN18)*Assumptions!H12</f>
        <v>19415.725468397835</v>
      </c>
      <c r="AO19" s="59">
        <f>SUM(AC19:AN19)</f>
        <v>207287.88319643922</v>
      </c>
      <c r="AP19" s="40">
        <f>(AP13+AP18)*Assumptions!H12</f>
        <v>19415.725468397835</v>
      </c>
      <c r="AQ19" s="58">
        <f>(AQ13+AQ18)*Assumptions!H12</f>
        <v>19415.725468397835</v>
      </c>
      <c r="AR19" s="40">
        <f>(AR13+AR18)*Assumptions!H12</f>
        <v>20259.788618429018</v>
      </c>
      <c r="AS19" s="58">
        <f>(AS13+AS18)*Assumptions!H12</f>
        <v>21103.851768460197</v>
      </c>
      <c r="AT19" s="40">
        <f>(AT13+AT18)*Assumptions!H12</f>
        <v>21947.914918491373</v>
      </c>
      <c r="AU19" s="58">
        <f>(AU13+AU18)*Assumptions!H12</f>
        <v>22791.978068522552</v>
      </c>
      <c r="AV19" s="40">
        <f>(AV13+AV18)*Assumptions!H12</f>
        <v>23636.041218553732</v>
      </c>
      <c r="AW19" s="58">
        <f>(AW13+AW18)*Assumptions!H12</f>
        <v>24480.104368584907</v>
      </c>
      <c r="AX19" s="40">
        <f>(AX13+AX18)*Assumptions!H12</f>
        <v>24480.104368584907</v>
      </c>
      <c r="AY19" s="58">
        <f>(AY13+AY18)*Assumptions!H12</f>
        <v>24480.104368584907</v>
      </c>
      <c r="AZ19" s="40">
        <f>(AZ13+AZ18)*Assumptions!H12</f>
        <v>24480.104368584907</v>
      </c>
      <c r="BA19" s="58">
        <f>(BA13+BA18)*Assumptions!H12</f>
        <v>24480.104368584907</v>
      </c>
      <c r="BB19" s="59">
        <f>SUM(AP19:BA19)</f>
        <v>270971.54737217707</v>
      </c>
      <c r="BC19" s="40">
        <f>(BC13+BC18)*Assumptions!H12</f>
        <v>24480.104368584907</v>
      </c>
      <c r="BD19" s="58">
        <f>(BD13+BD18)*Assumptions!H12</f>
        <v>24480.104368584907</v>
      </c>
      <c r="BE19" s="40">
        <f>(BE13+BE18)*Assumptions!H12</f>
        <v>25228.560971097417</v>
      </c>
      <c r="BF19" s="58">
        <f>(BF13+BF18)*Assumptions!H12</f>
        <v>25977.01757360993</v>
      </c>
      <c r="BG19" s="40">
        <f>(BG13+BG18)*Assumptions!H12</f>
        <v>26725.474176122436</v>
      </c>
      <c r="BH19" s="58">
        <f>(BH13+BH18)*Assumptions!H12</f>
        <v>27473.930778634949</v>
      </c>
      <c r="BI19" s="40">
        <f>(BI13+BI18)*Assumptions!H12</f>
        <v>28222.387381147462</v>
      </c>
      <c r="BJ19" s="58">
        <f>(BJ13+BJ18)*Assumptions!H12</f>
        <v>28970.843983659968</v>
      </c>
      <c r="BK19" s="40">
        <f>(BK13+BK18)*Assumptions!H12</f>
        <v>28970.843983659968</v>
      </c>
      <c r="BL19" s="58">
        <f>(BL13+BL18)*Assumptions!H12</f>
        <v>28970.843983659968</v>
      </c>
      <c r="BM19" s="40">
        <f>(BM13+BM18)*Assumptions!H12</f>
        <v>28970.843983659968</v>
      </c>
      <c r="BN19" s="58">
        <f>(BN13+BN18)*Assumptions!H12</f>
        <v>28970.843983659968</v>
      </c>
      <c r="BO19" s="59">
        <f>SUM(BC19:BN19)</f>
        <v>327441.7995360819</v>
      </c>
    </row>
    <row r="20" spans="2:67" x14ac:dyDescent="0.2">
      <c r="B20" s="61" t="s">
        <v>231</v>
      </c>
      <c r="C20" s="62">
        <f>IF(Assumptions!C7=0,C19,IF(Assumptions!C7=1,0,IF(Assumptions!C7=2,0,0)))</f>
        <v>0</v>
      </c>
      <c r="D20" s="63">
        <f>IF(Assumptions!C7=0,D19,IF(Assumptions!C7=1,C19,IF(Assumptions!C7=2,0,0)))</f>
        <v>0</v>
      </c>
      <c r="E20" s="62">
        <f>IF(Assumptions!C7=0,E19,IF(Assumptions!C7=1,D19,IF(Assumptions!C7=2,C19,0)))</f>
        <v>0</v>
      </c>
      <c r="F20" s="63">
        <f>IF(Assumptions!C7=0,F19,IF(Assumptions!C7=1,E19,IF(Assumptions!C7=2,D19,C19)))</f>
        <v>1210.5978260869563</v>
      </c>
      <c r="G20" s="62">
        <f>IF(Assumptions!C7=0,G19,IF(Assumptions!C7=1,F19,IF(Assumptions!C7=2,E19,D19)))</f>
        <v>2421.1956521739125</v>
      </c>
      <c r="H20" s="63">
        <f>IF(Assumptions!C7=0,H19,IF(Assumptions!C7=1,G19,IF(Assumptions!C7=2,F19,E19)))</f>
        <v>3631.7934782608695</v>
      </c>
      <c r="I20" s="62">
        <f>IF(Assumptions!C7=0,I19,IF(Assumptions!C7=1,H19,IF(Assumptions!C7=2,G19,F19)))</f>
        <v>4842.3913043478251</v>
      </c>
      <c r="J20" s="63">
        <f>IF(Assumptions!C7=0,J19,IF(Assumptions!C7=1,I19,IF(Assumptions!C7=2,H19,G19)))</f>
        <v>6052.989130434783</v>
      </c>
      <c r="K20" s="62">
        <f>IF(Assumptions!C7=0,K19,IF(Assumptions!C7=1,J19,IF(Assumptions!C7=2,I19,H19)))</f>
        <v>7263.586956521739</v>
      </c>
      <c r="L20" s="63">
        <f>IF(Assumptions!C7=0,L19,IF(Assumptions!C7=1,K19,IF(Assumptions!C7=2,J19,I19)))</f>
        <v>7263.586956521739</v>
      </c>
      <c r="M20" s="62">
        <f>IF(Assumptions!C7=0,M19,IF(Assumptions!C7=1,L19,IF(Assumptions!C7=2,K19,J19)))</f>
        <v>7263.586956521739</v>
      </c>
      <c r="N20" s="63">
        <f>IF(Assumptions!C7=0,N19,IF(Assumptions!C7=1,M19,IF(Assumptions!C7=2,L19,K19)))</f>
        <v>7263.586956521739</v>
      </c>
      <c r="O20" s="64">
        <f>SUM(C20:N20)</f>
        <v>47213.315217391304</v>
      </c>
      <c r="P20" s="62">
        <f>IF(Assumptions!C7=0,P19,IF(Assumptions!C7=1,N19,IF(Assumptions!C7=2,M19,L19)))</f>
        <v>7263.586956521739</v>
      </c>
      <c r="Q20" s="63">
        <f>IF(Assumptions!C7=0,Q19,IF(Assumptions!C7=1,P19,IF(Assumptions!C7=2,N19,M19)))</f>
        <v>7263.586956521739</v>
      </c>
      <c r="R20" s="62">
        <f>IF(Assumptions!C7=0,R19,IF(Assumptions!C7=1,Q19,IF(Assumptions!C7=2,P19,N19)))</f>
        <v>7263.586956521739</v>
      </c>
      <c r="S20" s="63">
        <f>IF(Assumptions!C7=0,S19,IF(Assumptions!C7=1,R19,IF(Assumptions!C7=2,Q19,P19)))</f>
        <v>8337.0610631553536</v>
      </c>
      <c r="T20" s="62">
        <f>IF(Assumptions!C7=0,T19,IF(Assumptions!C7=1,S19,IF(Assumptions!C7=2,R19,Q19)))</f>
        <v>9410.5351697889691</v>
      </c>
      <c r="U20" s="63">
        <f>IF(Assumptions!C7=0,U19,IF(Assumptions!C7=1,T19,IF(Assumptions!C7=2,S19,R19)))</f>
        <v>10484.009276422585</v>
      </c>
      <c r="V20" s="62">
        <f>IF(Assumptions!C7=0,V19,IF(Assumptions!C7=1,U19,IF(Assumptions!C7=2,T19,S19)))</f>
        <v>11557.4833830562</v>
      </c>
      <c r="W20" s="63">
        <f>IF(Assumptions!C7=0,W19,IF(Assumptions!C7=1,V19,IF(Assumptions!C7=2,U19,T19)))</f>
        <v>12630.957489689816</v>
      </c>
      <c r="X20" s="62">
        <f>IF(Assumptions!C7=0,X19,IF(Assumptions!C7=1,W19,IF(Assumptions!C7=2,V19,U19)))</f>
        <v>13704.431596323431</v>
      </c>
      <c r="Y20" s="63">
        <f>IF(Assumptions!C7=0,Y19,IF(Assumptions!C7=1,X19,IF(Assumptions!C7=2,W19,V19)))</f>
        <v>13704.431596323431</v>
      </c>
      <c r="Z20" s="62">
        <f>IF(Assumptions!C7=0,Z19,IF(Assumptions!C7=1,Y19,IF(Assumptions!C7=2,X19,W19)))</f>
        <v>13704.431596323431</v>
      </c>
      <c r="AA20" s="63">
        <f>IF(Assumptions!C7=0,AA19,IF(Assumptions!C7=1,Z19,IF(Assumptions!C7=2,Y19,X19)))</f>
        <v>13704.431596323431</v>
      </c>
      <c r="AB20" s="64">
        <f>SUM(P20:AA20)</f>
        <v>129028.53363697184</v>
      </c>
      <c r="AC20" s="62">
        <f>IF(Assumptions!C7=0,AC19,IF(Assumptions!C7=1,AA19,IF(Assumptions!C7=2,Z19,Y19)))</f>
        <v>13704.431596323431</v>
      </c>
      <c r="AD20" s="63">
        <f>IF(Assumptions!C7=0,AD19,IF(Assumptions!C7=1,AC19,IF(Assumptions!C7=2,AA19,Z19)))</f>
        <v>13704.431596323431</v>
      </c>
      <c r="AE20" s="62">
        <f>IF(Assumptions!C7=0,AE19,IF(Assumptions!C7=1,AD19,IF(Assumptions!C7=2,AC19,AA19)))</f>
        <v>13704.431596323431</v>
      </c>
      <c r="AF20" s="63">
        <f>IF(Assumptions!C7=0,AF19,IF(Assumptions!C7=1,AE19,IF(Assumptions!C7=2,AD19,AC19)))</f>
        <v>14656.313908335833</v>
      </c>
      <c r="AG20" s="62">
        <f>IF(Assumptions!C7=0,AG19,IF(Assumptions!C7=1,AF19,IF(Assumptions!C7=2,AE19,AD19)))</f>
        <v>15608.196220348234</v>
      </c>
      <c r="AH20" s="63">
        <f>IF(Assumptions!C7=0,AH19,IF(Assumptions!C7=1,AG19,IF(Assumptions!C7=2,AF19,AE19)))</f>
        <v>16560.078532360632</v>
      </c>
      <c r="AI20" s="62">
        <f>IF(Assumptions!C7=0,AI19,IF(Assumptions!C7=1,AH19,IF(Assumptions!C7=2,AG19,AF19)))</f>
        <v>17511.960844373036</v>
      </c>
      <c r="AJ20" s="63">
        <f>IF(Assumptions!C7=0,AJ19,IF(Assumptions!C7=1,AI19,IF(Assumptions!C7=2,AH19,AG19)))</f>
        <v>18463.843156385436</v>
      </c>
      <c r="AK20" s="62">
        <f>IF(Assumptions!C7=0,AK19,IF(Assumptions!C7=1,AJ19,IF(Assumptions!C7=2,AI19,AH19)))</f>
        <v>19415.725468397835</v>
      </c>
      <c r="AL20" s="63">
        <f>IF(Assumptions!C7=0,AL19,IF(Assumptions!C7=1,AK19,IF(Assumptions!C7=2,AJ19,AI19)))</f>
        <v>19415.725468397835</v>
      </c>
      <c r="AM20" s="62">
        <f>IF(Assumptions!C7=0,AM19,IF(Assumptions!C7=1,AL19,IF(Assumptions!C7=2,AK19,AJ19)))</f>
        <v>19415.725468397835</v>
      </c>
      <c r="AN20" s="63">
        <f>IF(Assumptions!C7=0,AN19,IF(Assumptions!C7=1,AM19,IF(Assumptions!C7=2,AL19,AK19)))</f>
        <v>19415.725468397835</v>
      </c>
      <c r="AO20" s="64">
        <f>SUM(AC20:AN20)</f>
        <v>201576.58932436482</v>
      </c>
      <c r="AP20" s="62">
        <f>IF(Assumptions!C7=0,AP19,IF(Assumptions!C7=1,AN19,IF(Assumptions!C7=2,AM19,AL19)))</f>
        <v>19415.725468397835</v>
      </c>
      <c r="AQ20" s="63">
        <f>IF(Assumptions!C7=0,AQ19,IF(Assumptions!C7=1,AP19,IF(Assumptions!C7=2,AN19,AM19)))</f>
        <v>19415.725468397835</v>
      </c>
      <c r="AR20" s="62">
        <f>IF(Assumptions!C7=0,AR19,IF(Assumptions!C7=1,AQ19,IF(Assumptions!C7=2,AP19,AN19)))</f>
        <v>19415.725468397835</v>
      </c>
      <c r="AS20" s="63">
        <f>IF(Assumptions!C7=0,AS19,IF(Assumptions!C7=1,AR19,IF(Assumptions!C7=2,AQ19,AP19)))</f>
        <v>20259.788618429018</v>
      </c>
      <c r="AT20" s="62">
        <f>IF(Assumptions!C7=0,AT19,IF(Assumptions!C7=1,AS19,IF(Assumptions!C7=2,AR19,AQ19)))</f>
        <v>21103.851768460197</v>
      </c>
      <c r="AU20" s="63">
        <f>IF(Assumptions!C7=0,AU19,IF(Assumptions!C7=1,AT19,IF(Assumptions!C7=2,AS19,AR19)))</f>
        <v>21947.914918491373</v>
      </c>
      <c r="AV20" s="62">
        <f>IF(Assumptions!C7=0,AV19,IF(Assumptions!C7=1,AU19,IF(Assumptions!C7=2,AT19,AS19)))</f>
        <v>22791.978068522552</v>
      </c>
      <c r="AW20" s="63">
        <f>IF(Assumptions!C7=0,AW19,IF(Assumptions!C7=1,AV19,IF(Assumptions!C7=2,AU19,AT19)))</f>
        <v>23636.041218553732</v>
      </c>
      <c r="AX20" s="62">
        <f>IF(Assumptions!C7=0,AX19,IF(Assumptions!C7=1,AW19,IF(Assumptions!C7=2,AV19,AU19)))</f>
        <v>24480.104368584907</v>
      </c>
      <c r="AY20" s="63">
        <f>IF(Assumptions!C7=0,AY19,IF(Assumptions!C7=1,AX19,IF(Assumptions!C7=2,AW19,AV19)))</f>
        <v>24480.104368584907</v>
      </c>
      <c r="AZ20" s="62">
        <f>IF(Assumptions!C7=0,AZ19,IF(Assumptions!C7=1,AY19,IF(Assumptions!C7=2,AX19,AW19)))</f>
        <v>24480.104368584907</v>
      </c>
      <c r="BA20" s="63">
        <f>IF(Assumptions!C7=0,BA19,IF(Assumptions!C7=1,AZ19,IF(Assumptions!C7=2,AY19,AX19)))</f>
        <v>24480.104368584907</v>
      </c>
      <c r="BB20" s="64">
        <f>SUM(AP20:BA20)</f>
        <v>265907.16847198998</v>
      </c>
      <c r="BC20" s="62">
        <f>IF(Assumptions!C7=0,BC19,IF(Assumptions!C7=1,BA19,IF(Assumptions!C7=2,AZ19,AY19)))</f>
        <v>24480.104368584907</v>
      </c>
      <c r="BD20" s="63">
        <f>IF(Assumptions!C7=0,BD19,IF(Assumptions!C7=1,BC19,IF(Assumptions!C7=2,BA19,AZ19)))</f>
        <v>24480.104368584907</v>
      </c>
      <c r="BE20" s="62">
        <f>IF(Assumptions!C7=0,BE19,IF(Assumptions!C7=1,BD19,IF(Assumptions!C7=2,BC19,BA19)))</f>
        <v>24480.104368584907</v>
      </c>
      <c r="BF20" s="63">
        <f>IF(Assumptions!C7=0,BF19,IF(Assumptions!C7=1,BE19,IF(Assumptions!C7=2,BD19,BC19)))</f>
        <v>25228.560971097417</v>
      </c>
      <c r="BG20" s="62">
        <f>IF(Assumptions!C7=0,BG19,IF(Assumptions!C7=1,BF19,IF(Assumptions!C7=2,BE19,BD19)))</f>
        <v>25977.01757360993</v>
      </c>
      <c r="BH20" s="63">
        <f>IF(Assumptions!C7=0,BH19,IF(Assumptions!C7=1,BG19,IF(Assumptions!C7=2,BF19,BE19)))</f>
        <v>26725.474176122436</v>
      </c>
      <c r="BI20" s="62">
        <f>IF(Assumptions!C7=0,BI19,IF(Assumptions!C7=1,BH19,IF(Assumptions!C7=2,BG19,BF19)))</f>
        <v>27473.930778634949</v>
      </c>
      <c r="BJ20" s="63">
        <f>IF(Assumptions!C7=0,BJ19,IF(Assumptions!C7=1,BI19,IF(Assumptions!C7=2,BH19,BG19)))</f>
        <v>28222.387381147462</v>
      </c>
      <c r="BK20" s="62">
        <f>IF(Assumptions!C7=0,BK19,IF(Assumptions!C7=1,BJ19,IF(Assumptions!C7=2,BI19,BH19)))</f>
        <v>28970.843983659968</v>
      </c>
      <c r="BL20" s="63">
        <f>IF(Assumptions!C7=0,BL19,IF(Assumptions!C7=1,BK19,IF(Assumptions!C7=2,BJ19,BI19)))</f>
        <v>28970.843983659968</v>
      </c>
      <c r="BM20" s="62">
        <f>IF(Assumptions!C7=0,BM19,IF(Assumptions!C7=1,BL19,IF(Assumptions!C7=2,BK19,BJ19)))</f>
        <v>28970.843983659968</v>
      </c>
      <c r="BN20" s="63">
        <f>IF(Assumptions!C7=0,BN19,IF(Assumptions!C7=1,BM19,IF(Assumptions!C7=2,BL19,BK19)))</f>
        <v>28970.843983659968</v>
      </c>
      <c r="BO20" s="64">
        <f>SUM(BC20:BN20)</f>
        <v>322951.05992100679</v>
      </c>
    </row>
    <row r="21" spans="2:67" x14ac:dyDescent="0.2">
      <c r="B21" s="65" t="s">
        <v>232</v>
      </c>
      <c r="C21" s="40">
        <v>0</v>
      </c>
      <c r="D21" s="58">
        <v>0</v>
      </c>
      <c r="E21" s="40">
        <v>0</v>
      </c>
      <c r="F21" s="58">
        <v>0</v>
      </c>
      <c r="G21" s="40">
        <v>0</v>
      </c>
      <c r="H21" s="58">
        <v>0</v>
      </c>
      <c r="I21" s="40">
        <v>0</v>
      </c>
      <c r="J21" s="58">
        <v>0</v>
      </c>
      <c r="K21" s="40">
        <v>0</v>
      </c>
      <c r="L21" s="58">
        <v>0</v>
      </c>
      <c r="M21" s="40">
        <v>0</v>
      </c>
      <c r="N21" s="58">
        <v>0</v>
      </c>
      <c r="O21" s="59">
        <f>SUM(C21:N21)</f>
        <v>0</v>
      </c>
      <c r="P21" s="40">
        <v>0</v>
      </c>
      <c r="Q21" s="58">
        <v>0</v>
      </c>
      <c r="R21" s="66">
        <f>SUM(C13:N13)*Assumptions!C44</f>
        <v>0</v>
      </c>
      <c r="S21" s="58">
        <v>0</v>
      </c>
      <c r="T21" s="40">
        <v>0</v>
      </c>
      <c r="U21" s="58">
        <v>0</v>
      </c>
      <c r="V21" s="40">
        <v>0</v>
      </c>
      <c r="W21" s="58">
        <v>0</v>
      </c>
      <c r="X21" s="40">
        <v>0</v>
      </c>
      <c r="Y21" s="58">
        <v>0</v>
      </c>
      <c r="Z21" s="40">
        <v>0</v>
      </c>
      <c r="AA21" s="58">
        <v>0</v>
      </c>
      <c r="AB21" s="59">
        <f>SUM(P21:AA21)</f>
        <v>0</v>
      </c>
      <c r="AC21" s="40">
        <v>0</v>
      </c>
      <c r="AD21" s="58">
        <v>0</v>
      </c>
      <c r="AE21" s="66">
        <f>SUM(P13:AA13)*Assumptions!C45</f>
        <v>6463.0434782608691</v>
      </c>
      <c r="AF21" s="58">
        <v>0</v>
      </c>
      <c r="AG21" s="40">
        <v>0</v>
      </c>
      <c r="AH21" s="58">
        <v>0</v>
      </c>
      <c r="AI21" s="40">
        <v>0</v>
      </c>
      <c r="AJ21" s="58">
        <v>0</v>
      </c>
      <c r="AK21" s="40">
        <v>0</v>
      </c>
      <c r="AL21" s="58">
        <v>0</v>
      </c>
      <c r="AM21" s="40">
        <v>0</v>
      </c>
      <c r="AN21" s="58">
        <v>0</v>
      </c>
      <c r="AO21" s="59">
        <f>SUM(AC21:AN21)</f>
        <v>6463.0434782608691</v>
      </c>
      <c r="AP21" s="40">
        <v>0</v>
      </c>
      <c r="AQ21" s="58">
        <v>0</v>
      </c>
      <c r="AR21" s="66">
        <f>SUM(AC13:AN13)*Assumptions!C46</f>
        <v>9694.565217391304</v>
      </c>
      <c r="AS21" s="58">
        <v>0</v>
      </c>
      <c r="AT21" s="40">
        <v>0</v>
      </c>
      <c r="AU21" s="58">
        <v>0</v>
      </c>
      <c r="AV21" s="40">
        <v>0</v>
      </c>
      <c r="AW21" s="58">
        <v>0</v>
      </c>
      <c r="AX21" s="40">
        <v>0</v>
      </c>
      <c r="AY21" s="58">
        <v>0</v>
      </c>
      <c r="AZ21" s="40">
        <v>0</v>
      </c>
      <c r="BA21" s="58">
        <v>0</v>
      </c>
      <c r="BB21" s="59">
        <f>SUM(AP21:BA21)</f>
        <v>9694.565217391304</v>
      </c>
      <c r="BC21" s="40">
        <v>0</v>
      </c>
      <c r="BD21" s="58">
        <v>0</v>
      </c>
      <c r="BE21" s="66">
        <f>SUM(AP13:BA13)*Assumptions!C47</f>
        <v>12926.086956521738</v>
      </c>
      <c r="BF21" s="58">
        <v>0</v>
      </c>
      <c r="BG21" s="40">
        <v>0</v>
      </c>
      <c r="BH21" s="58">
        <v>0</v>
      </c>
      <c r="BI21" s="40">
        <v>0</v>
      </c>
      <c r="BJ21" s="58">
        <v>0</v>
      </c>
      <c r="BK21" s="40">
        <v>0</v>
      </c>
      <c r="BL21" s="58">
        <v>0</v>
      </c>
      <c r="BM21" s="40">
        <v>0</v>
      </c>
      <c r="BN21" s="58">
        <v>0</v>
      </c>
      <c r="BO21" s="59">
        <f>SUM(BC21:BN21)</f>
        <v>12926.086956521738</v>
      </c>
    </row>
    <row r="22" spans="2:67" x14ac:dyDescent="0.2">
      <c r="B22" s="47" t="s">
        <v>233</v>
      </c>
      <c r="C22" s="67">
        <f t="shared" ref="C22:N22" si="10">C20+C21</f>
        <v>0</v>
      </c>
      <c r="D22" s="68">
        <f t="shared" si="10"/>
        <v>0</v>
      </c>
      <c r="E22" s="67">
        <f t="shared" si="10"/>
        <v>0</v>
      </c>
      <c r="F22" s="68">
        <f t="shared" si="10"/>
        <v>1210.5978260869563</v>
      </c>
      <c r="G22" s="67">
        <f t="shared" si="10"/>
        <v>2421.1956521739125</v>
      </c>
      <c r="H22" s="68">
        <f t="shared" si="10"/>
        <v>3631.7934782608695</v>
      </c>
      <c r="I22" s="67">
        <f t="shared" si="10"/>
        <v>4842.3913043478251</v>
      </c>
      <c r="J22" s="68">
        <f t="shared" si="10"/>
        <v>6052.989130434783</v>
      </c>
      <c r="K22" s="67">
        <f t="shared" si="10"/>
        <v>7263.586956521739</v>
      </c>
      <c r="L22" s="68">
        <f t="shared" si="10"/>
        <v>7263.586956521739</v>
      </c>
      <c r="M22" s="67">
        <f t="shared" si="10"/>
        <v>7263.586956521739</v>
      </c>
      <c r="N22" s="68">
        <f t="shared" si="10"/>
        <v>7263.586956521739</v>
      </c>
      <c r="O22" s="69">
        <f>SUM(C22:N22)</f>
        <v>47213.315217391304</v>
      </c>
      <c r="P22" s="67">
        <f t="shared" ref="P22:AA22" si="11">P20+P21</f>
        <v>7263.586956521739</v>
      </c>
      <c r="Q22" s="68">
        <f t="shared" si="11"/>
        <v>7263.586956521739</v>
      </c>
      <c r="R22" s="67">
        <f t="shared" si="11"/>
        <v>7263.586956521739</v>
      </c>
      <c r="S22" s="68">
        <f t="shared" si="11"/>
        <v>8337.0610631553536</v>
      </c>
      <c r="T22" s="67">
        <f t="shared" si="11"/>
        <v>9410.5351697889691</v>
      </c>
      <c r="U22" s="68">
        <f t="shared" si="11"/>
        <v>10484.009276422585</v>
      </c>
      <c r="V22" s="67">
        <f t="shared" si="11"/>
        <v>11557.4833830562</v>
      </c>
      <c r="W22" s="68">
        <f t="shared" si="11"/>
        <v>12630.957489689816</v>
      </c>
      <c r="X22" s="67">
        <f t="shared" si="11"/>
        <v>13704.431596323431</v>
      </c>
      <c r="Y22" s="68">
        <f t="shared" si="11"/>
        <v>13704.431596323431</v>
      </c>
      <c r="Z22" s="67">
        <f t="shared" si="11"/>
        <v>13704.431596323431</v>
      </c>
      <c r="AA22" s="68">
        <f t="shared" si="11"/>
        <v>13704.431596323431</v>
      </c>
      <c r="AB22" s="69">
        <f>SUM(P22:AA22)</f>
        <v>129028.53363697184</v>
      </c>
      <c r="AC22" s="67">
        <f t="shared" ref="AC22:AN22" si="12">AC20+AC21</f>
        <v>13704.431596323431</v>
      </c>
      <c r="AD22" s="68">
        <f t="shared" si="12"/>
        <v>13704.431596323431</v>
      </c>
      <c r="AE22" s="67">
        <f t="shared" si="12"/>
        <v>20167.475074584301</v>
      </c>
      <c r="AF22" s="68">
        <f t="shared" si="12"/>
        <v>14656.313908335833</v>
      </c>
      <c r="AG22" s="67">
        <f t="shared" si="12"/>
        <v>15608.196220348234</v>
      </c>
      <c r="AH22" s="68">
        <f t="shared" si="12"/>
        <v>16560.078532360632</v>
      </c>
      <c r="AI22" s="67">
        <f t="shared" si="12"/>
        <v>17511.960844373036</v>
      </c>
      <c r="AJ22" s="68">
        <f t="shared" si="12"/>
        <v>18463.843156385436</v>
      </c>
      <c r="AK22" s="67">
        <f t="shared" si="12"/>
        <v>19415.725468397835</v>
      </c>
      <c r="AL22" s="68">
        <f t="shared" si="12"/>
        <v>19415.725468397835</v>
      </c>
      <c r="AM22" s="67">
        <f t="shared" si="12"/>
        <v>19415.725468397835</v>
      </c>
      <c r="AN22" s="68">
        <f t="shared" si="12"/>
        <v>19415.725468397835</v>
      </c>
      <c r="AO22" s="69">
        <f>SUM(AC22:AN22)</f>
        <v>208039.63280262571</v>
      </c>
      <c r="AP22" s="67">
        <f t="shared" ref="AP22:BA22" si="13">AP20+AP21</f>
        <v>19415.725468397835</v>
      </c>
      <c r="AQ22" s="68">
        <f t="shared" si="13"/>
        <v>19415.725468397835</v>
      </c>
      <c r="AR22" s="67">
        <f t="shared" si="13"/>
        <v>29110.290685789139</v>
      </c>
      <c r="AS22" s="68">
        <f t="shared" si="13"/>
        <v>20259.788618429018</v>
      </c>
      <c r="AT22" s="67">
        <f t="shared" si="13"/>
        <v>21103.851768460197</v>
      </c>
      <c r="AU22" s="68">
        <f t="shared" si="13"/>
        <v>21947.914918491373</v>
      </c>
      <c r="AV22" s="67">
        <f t="shared" si="13"/>
        <v>22791.978068522552</v>
      </c>
      <c r="AW22" s="68">
        <f t="shared" si="13"/>
        <v>23636.041218553732</v>
      </c>
      <c r="AX22" s="67">
        <f t="shared" si="13"/>
        <v>24480.104368584907</v>
      </c>
      <c r="AY22" s="68">
        <f t="shared" si="13"/>
        <v>24480.104368584907</v>
      </c>
      <c r="AZ22" s="67">
        <f t="shared" si="13"/>
        <v>24480.104368584907</v>
      </c>
      <c r="BA22" s="68">
        <f t="shared" si="13"/>
        <v>24480.104368584907</v>
      </c>
      <c r="BB22" s="69">
        <f>SUM(AP22:BA22)</f>
        <v>275601.73368938128</v>
      </c>
      <c r="BC22" s="67">
        <f t="shared" ref="BC22:BN22" si="14">BC20+BC21</f>
        <v>24480.104368584907</v>
      </c>
      <c r="BD22" s="68">
        <f t="shared" si="14"/>
        <v>24480.104368584907</v>
      </c>
      <c r="BE22" s="67">
        <f t="shared" si="14"/>
        <v>37406.191325106643</v>
      </c>
      <c r="BF22" s="68">
        <f t="shared" si="14"/>
        <v>25228.560971097417</v>
      </c>
      <c r="BG22" s="67">
        <f t="shared" si="14"/>
        <v>25977.01757360993</v>
      </c>
      <c r="BH22" s="68">
        <f t="shared" si="14"/>
        <v>26725.474176122436</v>
      </c>
      <c r="BI22" s="67">
        <f t="shared" si="14"/>
        <v>27473.930778634949</v>
      </c>
      <c r="BJ22" s="68">
        <f t="shared" si="14"/>
        <v>28222.387381147462</v>
      </c>
      <c r="BK22" s="67">
        <f t="shared" si="14"/>
        <v>28970.843983659968</v>
      </c>
      <c r="BL22" s="68">
        <f t="shared" si="14"/>
        <v>28970.843983659968</v>
      </c>
      <c r="BM22" s="67">
        <f t="shared" si="14"/>
        <v>28970.843983659968</v>
      </c>
      <c r="BN22" s="68">
        <f t="shared" si="14"/>
        <v>28970.843983659968</v>
      </c>
      <c r="BO22" s="69">
        <f>SUM(BC22:BN22)</f>
        <v>335877.14687752852</v>
      </c>
    </row>
    <row r="23" spans="2:67" x14ac:dyDescent="0.2">
      <c r="B23" s="51" t="s">
        <v>234</v>
      </c>
      <c r="C23" s="40">
        <f>C22</f>
        <v>0</v>
      </c>
      <c r="D23" s="58">
        <f t="shared" ref="D23:N23" si="15">C23+D22</f>
        <v>0</v>
      </c>
      <c r="E23" s="40">
        <f t="shared" si="15"/>
        <v>0</v>
      </c>
      <c r="F23" s="58">
        <f t="shared" si="15"/>
        <v>1210.5978260869563</v>
      </c>
      <c r="G23" s="40">
        <f t="shared" si="15"/>
        <v>3631.7934782608691</v>
      </c>
      <c r="H23" s="58">
        <f t="shared" si="15"/>
        <v>7263.5869565217381</v>
      </c>
      <c r="I23" s="40">
        <f t="shared" si="15"/>
        <v>12105.978260869564</v>
      </c>
      <c r="J23" s="58">
        <f t="shared" si="15"/>
        <v>18158.967391304348</v>
      </c>
      <c r="K23" s="40">
        <f t="shared" si="15"/>
        <v>25422.554347826088</v>
      </c>
      <c r="L23" s="58">
        <f t="shared" si="15"/>
        <v>32686.141304347828</v>
      </c>
      <c r="M23" s="40">
        <f t="shared" si="15"/>
        <v>39949.728260869568</v>
      </c>
      <c r="N23" s="58">
        <f t="shared" si="15"/>
        <v>47213.315217391304</v>
      </c>
      <c r="O23" s="59">
        <f>N23</f>
        <v>47213.315217391304</v>
      </c>
      <c r="P23" s="40">
        <f>N23+P22</f>
        <v>54476.90217391304</v>
      </c>
      <c r="Q23" s="58">
        <f t="shared" ref="Q23:AA23" si="16">P23+Q22</f>
        <v>61740.489130434777</v>
      </c>
      <c r="R23" s="40">
        <f t="shared" si="16"/>
        <v>69004.076086956513</v>
      </c>
      <c r="S23" s="58">
        <f t="shared" si="16"/>
        <v>77341.13715011187</v>
      </c>
      <c r="T23" s="40">
        <f t="shared" si="16"/>
        <v>86751.672319900841</v>
      </c>
      <c r="U23" s="58">
        <f t="shared" si="16"/>
        <v>97235.681596323426</v>
      </c>
      <c r="V23" s="40">
        <f t="shared" si="16"/>
        <v>108793.16497937962</v>
      </c>
      <c r="W23" s="58">
        <f t="shared" si="16"/>
        <v>121424.12246906944</v>
      </c>
      <c r="X23" s="40">
        <f t="shared" si="16"/>
        <v>135128.55406539288</v>
      </c>
      <c r="Y23" s="58">
        <f t="shared" si="16"/>
        <v>148832.98566171632</v>
      </c>
      <c r="Z23" s="40">
        <f t="shared" si="16"/>
        <v>162537.41725803976</v>
      </c>
      <c r="AA23" s="58">
        <f t="shared" si="16"/>
        <v>176241.8488543632</v>
      </c>
      <c r="AB23" s="59">
        <f>AA23</f>
        <v>176241.8488543632</v>
      </c>
      <c r="AC23" s="40">
        <f>AA23+AC22</f>
        <v>189946.28045068664</v>
      </c>
      <c r="AD23" s="58">
        <f t="shared" ref="AD23:AN23" si="17">AC23+AD22</f>
        <v>203650.71204701008</v>
      </c>
      <c r="AE23" s="40">
        <f t="shared" si="17"/>
        <v>223818.18712159438</v>
      </c>
      <c r="AF23" s="58">
        <f t="shared" si="17"/>
        <v>238474.50102993022</v>
      </c>
      <c r="AG23" s="40">
        <f t="shared" si="17"/>
        <v>254082.69725027846</v>
      </c>
      <c r="AH23" s="58">
        <f t="shared" si="17"/>
        <v>270642.7757826391</v>
      </c>
      <c r="AI23" s="40">
        <f t="shared" si="17"/>
        <v>288154.73662701214</v>
      </c>
      <c r="AJ23" s="58">
        <f t="shared" si="17"/>
        <v>306618.57978339755</v>
      </c>
      <c r="AK23" s="40">
        <f t="shared" si="17"/>
        <v>326034.30525179539</v>
      </c>
      <c r="AL23" s="58">
        <f t="shared" si="17"/>
        <v>345450.03072019323</v>
      </c>
      <c r="AM23" s="40">
        <f t="shared" si="17"/>
        <v>364865.75618859107</v>
      </c>
      <c r="AN23" s="58">
        <f t="shared" si="17"/>
        <v>384281.48165698891</v>
      </c>
      <c r="AO23" s="59">
        <f>AN23</f>
        <v>384281.48165698891</v>
      </c>
      <c r="AP23" s="40">
        <f>AN23+AP22</f>
        <v>403697.20712538675</v>
      </c>
      <c r="AQ23" s="58">
        <f t="shared" ref="AQ23:BA23" si="18">AP23+AQ22</f>
        <v>423112.93259378459</v>
      </c>
      <c r="AR23" s="40">
        <f t="shared" si="18"/>
        <v>452223.22327957372</v>
      </c>
      <c r="AS23" s="58">
        <f t="shared" si="18"/>
        <v>472483.01189800276</v>
      </c>
      <c r="AT23" s="40">
        <f t="shared" si="18"/>
        <v>493586.86366646294</v>
      </c>
      <c r="AU23" s="58">
        <f t="shared" si="18"/>
        <v>515534.77858495433</v>
      </c>
      <c r="AV23" s="40">
        <f t="shared" si="18"/>
        <v>538326.75665347686</v>
      </c>
      <c r="AW23" s="58">
        <f t="shared" si="18"/>
        <v>561962.79787203064</v>
      </c>
      <c r="AX23" s="40">
        <f t="shared" si="18"/>
        <v>586442.90224061557</v>
      </c>
      <c r="AY23" s="58">
        <f t="shared" si="18"/>
        <v>610923.0066092005</v>
      </c>
      <c r="AZ23" s="40">
        <f t="shared" si="18"/>
        <v>635403.11097778543</v>
      </c>
      <c r="BA23" s="58">
        <f t="shared" si="18"/>
        <v>659883.21534637036</v>
      </c>
      <c r="BB23" s="59">
        <f>BA23</f>
        <v>659883.21534637036</v>
      </c>
      <c r="BC23" s="40">
        <f>BA23+BC22</f>
        <v>684363.31971495529</v>
      </c>
      <c r="BD23" s="58">
        <f t="shared" ref="BD23:BN23" si="19">BC23+BD22</f>
        <v>708843.42408354022</v>
      </c>
      <c r="BE23" s="40">
        <f t="shared" si="19"/>
        <v>746249.61540864687</v>
      </c>
      <c r="BF23" s="58">
        <f t="shared" si="19"/>
        <v>771478.17637974431</v>
      </c>
      <c r="BG23" s="40">
        <f t="shared" si="19"/>
        <v>797455.19395335426</v>
      </c>
      <c r="BH23" s="58">
        <f t="shared" si="19"/>
        <v>824180.66812947672</v>
      </c>
      <c r="BI23" s="40">
        <f t="shared" si="19"/>
        <v>851654.59890811169</v>
      </c>
      <c r="BJ23" s="58">
        <f t="shared" si="19"/>
        <v>879876.98628925916</v>
      </c>
      <c r="BK23" s="40">
        <f t="shared" si="19"/>
        <v>908847.83027291915</v>
      </c>
      <c r="BL23" s="58">
        <f t="shared" si="19"/>
        <v>937818.67425657914</v>
      </c>
      <c r="BM23" s="40">
        <f t="shared" si="19"/>
        <v>966789.51824023912</v>
      </c>
      <c r="BN23" s="58">
        <f t="shared" si="19"/>
        <v>995760.36222389911</v>
      </c>
      <c r="BO23" s="59">
        <f>BN23</f>
        <v>995760.36222389911</v>
      </c>
    </row>
    <row r="25" spans="2:67" x14ac:dyDescent="0.2">
      <c r="B25" s="11" t="s">
        <v>235</v>
      </c>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row>
    <row r="26" spans="2:67" x14ac:dyDescent="0.2">
      <c r="B26" s="51" t="s">
        <v>236</v>
      </c>
      <c r="C26" s="40">
        <f>Assumptions!C65</f>
        <v>11500</v>
      </c>
      <c r="D26" s="58">
        <v>0</v>
      </c>
      <c r="E26" s="40">
        <v>0</v>
      </c>
      <c r="F26" s="58">
        <v>0</v>
      </c>
      <c r="G26" s="40">
        <v>0</v>
      </c>
      <c r="H26" s="58">
        <v>0</v>
      </c>
      <c r="I26" s="40">
        <v>0</v>
      </c>
      <c r="J26" s="58">
        <v>0</v>
      </c>
      <c r="K26" s="40">
        <v>0</v>
      </c>
      <c r="L26" s="58">
        <v>0</v>
      </c>
      <c r="M26" s="40">
        <v>0</v>
      </c>
      <c r="N26" s="58">
        <v>0</v>
      </c>
      <c r="O26" s="59">
        <f t="shared" ref="O26:O31" si="20">SUM(C26:N26)</f>
        <v>11500</v>
      </c>
      <c r="P26" s="40">
        <v>0</v>
      </c>
      <c r="Q26" s="58">
        <v>0</v>
      </c>
      <c r="R26" s="40">
        <v>0</v>
      </c>
      <c r="S26" s="58">
        <v>0</v>
      </c>
      <c r="T26" s="40">
        <v>0</v>
      </c>
      <c r="U26" s="58">
        <v>0</v>
      </c>
      <c r="V26" s="40">
        <v>0</v>
      </c>
      <c r="W26" s="58">
        <v>0</v>
      </c>
      <c r="X26" s="40">
        <v>0</v>
      </c>
      <c r="Y26" s="58">
        <v>0</v>
      </c>
      <c r="Z26" s="40">
        <v>0</v>
      </c>
      <c r="AA26" s="58">
        <v>0</v>
      </c>
      <c r="AB26" s="59">
        <f t="shared" ref="AB26:AB31" si="21">SUM(P26:AA26)</f>
        <v>0</v>
      </c>
      <c r="AC26" s="40">
        <v>0</v>
      </c>
      <c r="AD26" s="58">
        <v>0</v>
      </c>
      <c r="AE26" s="40">
        <v>0</v>
      </c>
      <c r="AF26" s="58">
        <v>0</v>
      </c>
      <c r="AG26" s="40">
        <v>0</v>
      </c>
      <c r="AH26" s="58">
        <v>0</v>
      </c>
      <c r="AI26" s="40">
        <v>0</v>
      </c>
      <c r="AJ26" s="58">
        <v>0</v>
      </c>
      <c r="AK26" s="40">
        <v>0</v>
      </c>
      <c r="AL26" s="58">
        <v>0</v>
      </c>
      <c r="AM26" s="40">
        <v>0</v>
      </c>
      <c r="AN26" s="58">
        <v>0</v>
      </c>
      <c r="AO26" s="59">
        <f t="shared" ref="AO26:AO31" si="22">SUM(AC26:AN26)</f>
        <v>0</v>
      </c>
      <c r="AP26" s="40">
        <v>0</v>
      </c>
      <c r="AQ26" s="58">
        <v>0</v>
      </c>
      <c r="AR26" s="40">
        <v>0</v>
      </c>
      <c r="AS26" s="58">
        <v>0</v>
      </c>
      <c r="AT26" s="40">
        <v>0</v>
      </c>
      <c r="AU26" s="58">
        <v>0</v>
      </c>
      <c r="AV26" s="40">
        <v>0</v>
      </c>
      <c r="AW26" s="58">
        <v>0</v>
      </c>
      <c r="AX26" s="40">
        <v>0</v>
      </c>
      <c r="AY26" s="58">
        <v>0</v>
      </c>
      <c r="AZ26" s="40">
        <v>0</v>
      </c>
      <c r="BA26" s="58">
        <v>0</v>
      </c>
      <c r="BB26" s="59">
        <f t="shared" ref="BB26:BB31" si="23">SUM(AP26:BA26)</f>
        <v>0</v>
      </c>
      <c r="BC26" s="40">
        <v>0</v>
      </c>
      <c r="BD26" s="58">
        <v>0</v>
      </c>
      <c r="BE26" s="40">
        <v>0</v>
      </c>
      <c r="BF26" s="58">
        <v>0</v>
      </c>
      <c r="BG26" s="40">
        <v>0</v>
      </c>
      <c r="BH26" s="58">
        <v>0</v>
      </c>
      <c r="BI26" s="40">
        <v>0</v>
      </c>
      <c r="BJ26" s="58">
        <v>0</v>
      </c>
      <c r="BK26" s="40">
        <v>0</v>
      </c>
      <c r="BL26" s="58">
        <v>0</v>
      </c>
      <c r="BM26" s="40">
        <v>0</v>
      </c>
      <c r="BN26" s="58">
        <v>0</v>
      </c>
      <c r="BO26" s="59">
        <f t="shared" ref="BO26:BO31" si="24">SUM(BC26:BN26)</f>
        <v>0</v>
      </c>
    </row>
    <row r="27" spans="2:67" x14ac:dyDescent="0.2">
      <c r="B27" s="51" t="s">
        <v>237</v>
      </c>
      <c r="C27" s="40">
        <f>IF(AND(Assumptions!F20&lt;=1,Assumptions!F20&gt;0),Assumptions!D20*Assumptions!C32,0)+IF(AND(Assumptions!F21&lt;=1,Assumptions!F21&gt;0),Assumptions!D21*Assumptions!C32,0)+IF(AND(Assumptions!F22&lt;=1,Assumptions!F22&gt;0),Assumptions!D22*Assumptions!C32,0)+IF(AND(Assumptions!F23&lt;=1,Assumptions!F23&gt;0),Assumptions!D23*Assumptions!C32,0)+IF(AND(Assumptions!F24&lt;=1,Assumptions!F24&gt;0),Assumptions!D24*Assumptions!C32,0)+IF(AND(Assumptions!F25&lt;=1,Assumptions!F25&gt;0),Assumptions!D25*Assumptions!C32,0)+IF(AND(Assumptions!F26&lt;=1,Assumptions!F26&gt;0),Assumptions!D26*Assumptions!C32,0)+IF(AND(Assumptions!F27&lt;=1,Assumptions!F27&gt;0),Assumptions!D27*Assumptions!C32,0)+IF(AND(Assumptions!F28&lt;=1,Assumptions!F28&gt;0),Assumptions!D28*Assumptions!C32,0)+IF(AND(Assumptions!F29&lt;=1,Assumptions!F29&gt;0),Assumptions!D29*Assumptions!C32,0)</f>
        <v>0</v>
      </c>
      <c r="D27" s="58">
        <f>IF(AND(Assumptions!F20&lt;=2,Assumptions!F20&gt;0),Assumptions!D20*Assumptions!C32,0)+IF(AND(Assumptions!F21&lt;=2,Assumptions!F21&gt;0),Assumptions!D21*Assumptions!C32,0)+IF(AND(Assumptions!F22&lt;=2,Assumptions!F22&gt;0),Assumptions!D22*Assumptions!C32,0)+IF(AND(Assumptions!F23&lt;=2,Assumptions!F23&gt;0),Assumptions!D23*Assumptions!C32,0)+IF(AND(Assumptions!F24&lt;=2,Assumptions!F24&gt;0),Assumptions!D24*Assumptions!C32,0)+IF(AND(Assumptions!F25&lt;=2,Assumptions!F25&gt;0),Assumptions!D25*Assumptions!C32,0)+IF(AND(Assumptions!F26&lt;=2,Assumptions!F26&gt;0),Assumptions!D26*Assumptions!C32,0)+IF(AND(Assumptions!F27&lt;=2,Assumptions!F27&gt;0),Assumptions!D27*Assumptions!C32,0)+IF(AND(Assumptions!F28&lt;=2,Assumptions!F28&gt;0),Assumptions!D28*Assumptions!C32,0)+IF(AND(Assumptions!F29&lt;=2,Assumptions!F29&gt;0),Assumptions!D29*Assumptions!C32,0)</f>
        <v>0</v>
      </c>
      <c r="E27" s="40">
        <f>IF(AND(Assumptions!F20&lt;=3,Assumptions!F20&gt;0),Assumptions!D20*Assumptions!C32,0)+IF(AND(Assumptions!F21&lt;=3,Assumptions!F21&gt;0),Assumptions!D21*Assumptions!C32,0)+IF(AND(Assumptions!F22&lt;=3,Assumptions!F22&gt;0),Assumptions!D22*Assumptions!C32,0)+IF(AND(Assumptions!F23&lt;=3,Assumptions!F23&gt;0),Assumptions!D23*Assumptions!C32,0)+IF(AND(Assumptions!F24&lt;=3,Assumptions!F24&gt;0),Assumptions!D24*Assumptions!C32,0)+IF(AND(Assumptions!F25&lt;=3,Assumptions!F25&gt;0),Assumptions!D25*Assumptions!C32,0)+IF(AND(Assumptions!F26&lt;=3,Assumptions!F26&gt;0),Assumptions!D26*Assumptions!C32,0)+IF(AND(Assumptions!F27&lt;=3,Assumptions!F27&gt;0),Assumptions!D27*Assumptions!C32,0)+IF(AND(Assumptions!F28&lt;=3,Assumptions!F28&gt;0),Assumptions!D28*Assumptions!C32,0)+IF(AND(Assumptions!F29&lt;=3,Assumptions!F29&gt;0),Assumptions!D29*Assumptions!C32,0)</f>
        <v>6250</v>
      </c>
      <c r="F27" s="58">
        <f>IF(AND(Assumptions!F20&lt;=4,Assumptions!F20&gt;0),Assumptions!D20*Assumptions!C32,0)+IF(AND(Assumptions!F21&lt;=4,Assumptions!F21&gt;0),Assumptions!D21*Assumptions!C32,0)+IF(AND(Assumptions!F22&lt;=4,Assumptions!F22&gt;0),Assumptions!D22*Assumptions!C32,0)+IF(AND(Assumptions!F23&lt;=4,Assumptions!F23&gt;0),Assumptions!D23*Assumptions!C32,0)+IF(AND(Assumptions!F24&lt;=4,Assumptions!F24&gt;0),Assumptions!D24*Assumptions!C32,0)+IF(AND(Assumptions!F25&lt;=4,Assumptions!F25&gt;0),Assumptions!D25*Assumptions!C32,0)+IF(AND(Assumptions!F26&lt;=4,Assumptions!F26&gt;0),Assumptions!D26*Assumptions!C32,0)+IF(AND(Assumptions!F27&lt;=4,Assumptions!F27&gt;0),Assumptions!D27*Assumptions!C32,0)+IF(AND(Assumptions!F28&lt;=4,Assumptions!F28&gt;0),Assumptions!D28*Assumptions!C32,0)+IF(AND(Assumptions!F29&lt;=4,Assumptions!F29&gt;0),Assumptions!D29*Assumptions!C32,0)</f>
        <v>6250</v>
      </c>
      <c r="G27" s="40">
        <f>IF(AND(Assumptions!F20&lt;=5,Assumptions!F20&gt;0),Assumptions!D20*Assumptions!C32,0)+IF(AND(Assumptions!F21&lt;=5,Assumptions!F21&gt;0),Assumptions!D21*Assumptions!C32,0)+IF(AND(Assumptions!F22&lt;=5,Assumptions!F22&gt;0),Assumptions!D22*Assumptions!C32,0)+IF(AND(Assumptions!F23&lt;=5,Assumptions!F23&gt;0),Assumptions!D23*Assumptions!C32,0)+IF(AND(Assumptions!F24&lt;=5,Assumptions!F24&gt;0),Assumptions!D24*Assumptions!C32,0)+IF(AND(Assumptions!F25&lt;=5,Assumptions!F25&gt;0),Assumptions!D25*Assumptions!C32,0)+IF(AND(Assumptions!F26&lt;=5,Assumptions!F26&gt;0),Assumptions!D26*Assumptions!C32,0)+IF(AND(Assumptions!F27&lt;=5,Assumptions!F27&gt;0),Assumptions!D27*Assumptions!C32,0)+IF(AND(Assumptions!F28&lt;=5,Assumptions!F28&gt;0),Assumptions!D28*Assumptions!C32,0)+IF(AND(Assumptions!F29&lt;=5,Assumptions!F29&gt;0),Assumptions!D29*Assumptions!C32,0)</f>
        <v>6250</v>
      </c>
      <c r="H27" s="58">
        <f>IF(AND(Assumptions!F20&lt;=6,Assumptions!F20&gt;0),Assumptions!D20*Assumptions!C32,0)+IF(AND(Assumptions!F21&lt;=6,Assumptions!F21&gt;0),Assumptions!D21*Assumptions!C32,0)+IF(AND(Assumptions!F22&lt;=6,Assumptions!F22&gt;0),Assumptions!D22*Assumptions!C32,0)+IF(AND(Assumptions!F23&lt;=6,Assumptions!F23&gt;0),Assumptions!D23*Assumptions!C32,0)+IF(AND(Assumptions!F24&lt;=6,Assumptions!F24&gt;0),Assumptions!D24*Assumptions!C32,0)+IF(AND(Assumptions!F25&lt;=6,Assumptions!F25&gt;0),Assumptions!D25*Assumptions!C32,0)+IF(AND(Assumptions!F26&lt;=6,Assumptions!F26&gt;0),Assumptions!D26*Assumptions!C32,0)+IF(AND(Assumptions!F27&lt;=6,Assumptions!F27&gt;0),Assumptions!D27*Assumptions!C32,0)+IF(AND(Assumptions!F28&lt;=6,Assumptions!F28&gt;0),Assumptions!D28*Assumptions!C32,0)+IF(AND(Assumptions!F29&lt;=6,Assumptions!F29&gt;0),Assumptions!D29*Assumptions!C32,0)</f>
        <v>6250</v>
      </c>
      <c r="I27" s="40">
        <f>IF(AND(Assumptions!F20&lt;=7,Assumptions!F20&gt;0),Assumptions!D20*Assumptions!C32,0)+IF(AND(Assumptions!F21&lt;=7,Assumptions!F21&gt;0),Assumptions!D21*Assumptions!C32,0)+IF(AND(Assumptions!F22&lt;=7,Assumptions!F22&gt;0),Assumptions!D22*Assumptions!C32,0)+IF(AND(Assumptions!F23&lt;=7,Assumptions!F23&gt;0),Assumptions!D23*Assumptions!C32,0)+IF(AND(Assumptions!F24&lt;=7,Assumptions!F24&gt;0),Assumptions!D24*Assumptions!C32,0)+IF(AND(Assumptions!F25&lt;=7,Assumptions!F25&gt;0),Assumptions!D25*Assumptions!C32,0)+IF(AND(Assumptions!F26&lt;=7,Assumptions!F26&gt;0),Assumptions!D26*Assumptions!C32,0)+IF(AND(Assumptions!F27&lt;=7,Assumptions!F27&gt;0),Assumptions!D27*Assumptions!C32,0)+IF(AND(Assumptions!F28&lt;=7,Assumptions!F28&gt;0),Assumptions!D28*Assumptions!C32,0)+IF(AND(Assumptions!F29&lt;=7,Assumptions!F29&gt;0),Assumptions!D29*Assumptions!C32,0)</f>
        <v>6250</v>
      </c>
      <c r="J27" s="58">
        <f>IF(AND(Assumptions!F20&lt;=8,Assumptions!F20&gt;0),Assumptions!D20*Assumptions!C32,0)+IF(AND(Assumptions!F21&lt;=8,Assumptions!F21&gt;0),Assumptions!D21*Assumptions!C32,0)+IF(AND(Assumptions!F22&lt;=8,Assumptions!F22&gt;0),Assumptions!D22*Assumptions!C32,0)+IF(AND(Assumptions!F23&lt;=8,Assumptions!F23&gt;0),Assumptions!D23*Assumptions!C32,0)+IF(AND(Assumptions!F24&lt;=8,Assumptions!F24&gt;0),Assumptions!D24*Assumptions!C32,0)+IF(AND(Assumptions!F25&lt;=8,Assumptions!F25&gt;0),Assumptions!D25*Assumptions!C32,0)+IF(AND(Assumptions!F26&lt;=8,Assumptions!F26&gt;0),Assumptions!D26*Assumptions!C32,0)+IF(AND(Assumptions!F27&lt;=8,Assumptions!F27&gt;0),Assumptions!D27*Assumptions!C32,0)+IF(AND(Assumptions!F28&lt;=8,Assumptions!F28&gt;0),Assumptions!D28*Assumptions!C32,0)+IF(AND(Assumptions!F29&lt;=8,Assumptions!F29&gt;0),Assumptions!D29*Assumptions!C32,0)</f>
        <v>6250</v>
      </c>
      <c r="K27" s="40">
        <f>IF(AND(Assumptions!F20&lt;=9,Assumptions!F20&gt;0),Assumptions!D20*Assumptions!C32,0)+IF(AND(Assumptions!F21&lt;=9,Assumptions!F21&gt;0),Assumptions!D21*Assumptions!C32,0)+IF(AND(Assumptions!F22&lt;=9,Assumptions!F22&gt;0),Assumptions!D22*Assumptions!C32,0)+IF(AND(Assumptions!F23&lt;=9,Assumptions!F23&gt;0),Assumptions!D23*Assumptions!C32,0)+IF(AND(Assumptions!F24&lt;=9,Assumptions!F24&gt;0),Assumptions!D24*Assumptions!C32,0)+IF(AND(Assumptions!F25&lt;=9,Assumptions!F25&gt;0),Assumptions!D25*Assumptions!C32,0)+IF(AND(Assumptions!F26&lt;=9,Assumptions!F26&gt;0),Assumptions!D26*Assumptions!C32,0)+IF(AND(Assumptions!F27&lt;=9,Assumptions!F27&gt;0),Assumptions!D27*Assumptions!C32,0)+IF(AND(Assumptions!F28&lt;=9,Assumptions!F28&gt;0),Assumptions!D28*Assumptions!C32,0)+IF(AND(Assumptions!F29&lt;=9,Assumptions!F29&gt;0),Assumptions!D29*Assumptions!C32,0)</f>
        <v>6250</v>
      </c>
      <c r="L27" s="58">
        <f>IF(AND(Assumptions!F20&lt;=10,Assumptions!F20&gt;0),Assumptions!D20*Assumptions!C32,0)+IF(AND(Assumptions!F21&lt;=10,Assumptions!F21&gt;0),Assumptions!D21*Assumptions!C32,0)+IF(AND(Assumptions!F22&lt;=10,Assumptions!F22&gt;0),Assumptions!D22*Assumptions!C32,0)+IF(AND(Assumptions!F23&lt;=10,Assumptions!F23&gt;0),Assumptions!D23*Assumptions!C32,0)+IF(AND(Assumptions!F24&lt;=10,Assumptions!F24&gt;0),Assumptions!D24*Assumptions!C32,0)+IF(AND(Assumptions!F25&lt;=10,Assumptions!F25&gt;0),Assumptions!D25*Assumptions!C32,0)+IF(AND(Assumptions!F26&lt;=10,Assumptions!F26&gt;0),Assumptions!D26*Assumptions!C32,0)+IF(AND(Assumptions!F27&lt;=10,Assumptions!F27&gt;0),Assumptions!D27*Assumptions!C32,0)+IF(AND(Assumptions!F28&lt;=10,Assumptions!F28&gt;0),Assumptions!D28*Assumptions!C32,0)+IF(AND(Assumptions!F29&lt;=10,Assumptions!F29&gt;0),Assumptions!D29*Assumptions!C32,0)</f>
        <v>6250</v>
      </c>
      <c r="M27" s="40">
        <f>IF(AND(Assumptions!F20&lt;=11,Assumptions!F20&gt;0),Assumptions!D20*Assumptions!C32,0)+IF(AND(Assumptions!F21&lt;=11,Assumptions!F21&gt;0),Assumptions!D21*Assumptions!C32,0)+IF(AND(Assumptions!F22&lt;=11,Assumptions!F22&gt;0),Assumptions!D22*Assumptions!C32,0)+IF(AND(Assumptions!F23&lt;=11,Assumptions!F23&gt;0),Assumptions!D23*Assumptions!C32,0)+IF(AND(Assumptions!F24&lt;=11,Assumptions!F24&gt;0),Assumptions!D24*Assumptions!C32,0)+IF(AND(Assumptions!F25&lt;=11,Assumptions!F25&gt;0),Assumptions!D25*Assumptions!C32,0)+IF(AND(Assumptions!F26&lt;=11,Assumptions!F26&gt;0),Assumptions!D26*Assumptions!C32,0)+IF(AND(Assumptions!F27&lt;=11,Assumptions!F27&gt;0),Assumptions!D27*Assumptions!C32,0)+IF(AND(Assumptions!F28&lt;=11,Assumptions!F28&gt;0),Assumptions!D28*Assumptions!C32,0)+IF(AND(Assumptions!F29&lt;=11,Assumptions!F29&gt;0),Assumptions!D29*Assumptions!C32,0)</f>
        <v>6250</v>
      </c>
      <c r="N27" s="58">
        <f>IF(AND(Assumptions!F20&lt;=12,Assumptions!F20&gt;0),Assumptions!D20*Assumptions!C32,0)+IF(AND(Assumptions!F21&lt;=12,Assumptions!F21&gt;0),Assumptions!D21*Assumptions!C32,0)+IF(AND(Assumptions!F22&lt;=12,Assumptions!F22&gt;0),Assumptions!D22*Assumptions!C32,0)+IF(AND(Assumptions!F23&lt;=12,Assumptions!F23&gt;0),Assumptions!D23*Assumptions!C32,0)+IF(AND(Assumptions!F24&lt;=12,Assumptions!F24&gt;0),Assumptions!D24*Assumptions!C32,0)+IF(AND(Assumptions!F25&lt;=12,Assumptions!F25&gt;0),Assumptions!D25*Assumptions!C32,0)+IF(AND(Assumptions!F26&lt;=12,Assumptions!F26&gt;0),Assumptions!D26*Assumptions!C32,0)+IF(AND(Assumptions!F27&lt;=12,Assumptions!F27&gt;0),Assumptions!D27*Assumptions!C32,0)+IF(AND(Assumptions!F28&lt;=12,Assumptions!F28&gt;0),Assumptions!D28*Assumptions!C32,0)+IF(AND(Assumptions!F29&lt;=12,Assumptions!F29&gt;0),Assumptions!D29*Assumptions!C32,0)</f>
        <v>6250</v>
      </c>
      <c r="O27" s="59">
        <f t="shared" si="20"/>
        <v>62500</v>
      </c>
      <c r="P27" s="40">
        <f>IF(AND(Assumptions!F20&lt;=13,Assumptions!F20&gt;0),Assumptions!D20*Assumptions!C32,0)+IF(AND(Assumptions!F21&lt;=13,Assumptions!F21&gt;0),Assumptions!D21*Assumptions!C32,0)+IF(AND(Assumptions!F22&lt;=13,Assumptions!F22&gt;0),Assumptions!D22*Assumptions!C32,0)+IF(AND(Assumptions!F23&lt;=13,Assumptions!F23&gt;0),Assumptions!D23*Assumptions!C32,0)+IF(AND(Assumptions!F24&lt;=13,Assumptions!F24&gt;0),Assumptions!D24*Assumptions!C32,0)+IF(AND(Assumptions!F25&lt;=13,Assumptions!F25&gt;0),Assumptions!D25*Assumptions!C32,0)+IF(AND(Assumptions!F26&lt;=13,Assumptions!F26&gt;0),Assumptions!D26*Assumptions!C32,0)+IF(AND(Assumptions!F27&lt;=13,Assumptions!F27&gt;0),Assumptions!D27*Assumptions!C32,0)+IF(AND(Assumptions!F28&lt;=13,Assumptions!F28&gt;0),Assumptions!D28*Assumptions!C32,0)+IF(AND(Assumptions!F29&lt;=13,Assumptions!F29&gt;0),Assumptions!D29*Assumptions!C32,0)</f>
        <v>6250</v>
      </c>
      <c r="Q27" s="58">
        <f>IF(AND(Assumptions!F20&lt;=14,Assumptions!F20&gt;0),Assumptions!D20*Assumptions!C32,0)+IF(AND(Assumptions!F21&lt;=14,Assumptions!F21&gt;0),Assumptions!D21*Assumptions!C32,0)+IF(AND(Assumptions!F22&lt;=14,Assumptions!F22&gt;0),Assumptions!D22*Assumptions!C32,0)+IF(AND(Assumptions!F23&lt;=14,Assumptions!F23&gt;0),Assumptions!D23*Assumptions!C32,0)+IF(AND(Assumptions!F24&lt;=14,Assumptions!F24&gt;0),Assumptions!D24*Assumptions!C32,0)+IF(AND(Assumptions!F25&lt;=14,Assumptions!F25&gt;0),Assumptions!D25*Assumptions!C32,0)+IF(AND(Assumptions!F26&lt;=14,Assumptions!F26&gt;0),Assumptions!D26*Assumptions!C32,0)+IF(AND(Assumptions!F27&lt;=14,Assumptions!F27&gt;0),Assumptions!D27*Assumptions!C32,0)+IF(AND(Assumptions!F28&lt;=14,Assumptions!F28&gt;0),Assumptions!D28*Assumptions!C32,0)+IF(AND(Assumptions!F29&lt;=14,Assumptions!F29&gt;0),Assumptions!D29*Assumptions!C32,0)</f>
        <v>6250</v>
      </c>
      <c r="R27" s="40">
        <f>IF(AND(Assumptions!F20&lt;=15,Assumptions!F20&gt;0),Assumptions!D20*Assumptions!C32,0)+IF(AND(Assumptions!F21&lt;=15,Assumptions!F21&gt;0),Assumptions!D21*Assumptions!C32,0)+IF(AND(Assumptions!F22&lt;=15,Assumptions!F22&gt;0),Assumptions!D22*Assumptions!C32,0)+IF(AND(Assumptions!F23&lt;=15,Assumptions!F23&gt;0),Assumptions!D23*Assumptions!C32,0)+IF(AND(Assumptions!F24&lt;=15,Assumptions!F24&gt;0),Assumptions!D24*Assumptions!C32,0)+IF(AND(Assumptions!F25&lt;=15,Assumptions!F25&gt;0),Assumptions!D25*Assumptions!C32,0)+IF(AND(Assumptions!F26&lt;=15,Assumptions!F26&gt;0),Assumptions!D26*Assumptions!C32,0)+IF(AND(Assumptions!F27&lt;=15,Assumptions!F27&gt;0),Assumptions!D27*Assumptions!C32,0)+IF(AND(Assumptions!F28&lt;=15,Assumptions!F28&gt;0),Assumptions!D28*Assumptions!C32,0)+IF(AND(Assumptions!F29&lt;=15,Assumptions!F29&gt;0),Assumptions!D29*Assumptions!C32,0)</f>
        <v>6250</v>
      </c>
      <c r="S27" s="58">
        <f>IF(AND(Assumptions!F20&lt;=16,Assumptions!F20&gt;0),Assumptions!D20*Assumptions!C32,0)+IF(AND(Assumptions!F21&lt;=16,Assumptions!F21&gt;0),Assumptions!D21*Assumptions!C32,0)+IF(AND(Assumptions!F22&lt;=16,Assumptions!F22&gt;0),Assumptions!D22*Assumptions!C32,0)+IF(AND(Assumptions!F23&lt;=16,Assumptions!F23&gt;0),Assumptions!D23*Assumptions!C32,0)+IF(AND(Assumptions!F24&lt;=16,Assumptions!F24&gt;0),Assumptions!D24*Assumptions!C32,0)+IF(AND(Assumptions!F25&lt;=16,Assumptions!F25&gt;0),Assumptions!D25*Assumptions!C32,0)+IF(AND(Assumptions!F26&lt;=16,Assumptions!F26&gt;0),Assumptions!D26*Assumptions!C32,0)+IF(AND(Assumptions!F27&lt;=16,Assumptions!F27&gt;0),Assumptions!D27*Assumptions!C32,0)+IF(AND(Assumptions!F28&lt;=16,Assumptions!F28&gt;0),Assumptions!D28*Assumptions!C32,0)+IF(AND(Assumptions!F29&lt;=16,Assumptions!F29&gt;0),Assumptions!D29*Assumptions!C32,0)</f>
        <v>6250</v>
      </c>
      <c r="T27" s="40">
        <f>IF(AND(Assumptions!F20&lt;=17,Assumptions!F20&gt;0),Assumptions!D20*Assumptions!C32,0)+IF(AND(Assumptions!F21&lt;=17,Assumptions!F21&gt;0),Assumptions!D21*Assumptions!C32,0)+IF(AND(Assumptions!F22&lt;=17,Assumptions!F22&gt;0),Assumptions!D22*Assumptions!C32,0)+IF(AND(Assumptions!F23&lt;=17,Assumptions!F23&gt;0),Assumptions!D23*Assumptions!C32,0)+IF(AND(Assumptions!F24&lt;=17,Assumptions!F24&gt;0),Assumptions!D24*Assumptions!C32,0)+IF(AND(Assumptions!F25&lt;=17,Assumptions!F25&gt;0),Assumptions!D25*Assumptions!C32,0)+IF(AND(Assumptions!F26&lt;=17,Assumptions!F26&gt;0),Assumptions!D26*Assumptions!C32,0)+IF(AND(Assumptions!F27&lt;=17,Assumptions!F27&gt;0),Assumptions!D27*Assumptions!C32,0)+IF(AND(Assumptions!F28&lt;=17,Assumptions!F28&gt;0),Assumptions!D28*Assumptions!C32,0)+IF(AND(Assumptions!F29&lt;=17,Assumptions!F29&gt;0),Assumptions!D29*Assumptions!C32,0)</f>
        <v>6250</v>
      </c>
      <c r="U27" s="58">
        <f>IF(AND(Assumptions!F20&lt;=18,Assumptions!F20&gt;0),Assumptions!D20*Assumptions!C32,0)+IF(AND(Assumptions!F21&lt;=18,Assumptions!F21&gt;0),Assumptions!D21*Assumptions!C32,0)+IF(AND(Assumptions!F22&lt;=18,Assumptions!F22&gt;0),Assumptions!D22*Assumptions!C32,0)+IF(AND(Assumptions!F23&lt;=18,Assumptions!F23&gt;0),Assumptions!D23*Assumptions!C32,0)+IF(AND(Assumptions!F24&lt;=18,Assumptions!F24&gt;0),Assumptions!D24*Assumptions!C32,0)+IF(AND(Assumptions!F25&lt;=18,Assumptions!F25&gt;0),Assumptions!D25*Assumptions!C32,0)+IF(AND(Assumptions!F26&lt;=18,Assumptions!F26&gt;0),Assumptions!D26*Assumptions!C32,0)+IF(AND(Assumptions!F27&lt;=18,Assumptions!F27&gt;0),Assumptions!D27*Assumptions!C32,0)+IF(AND(Assumptions!F28&lt;=18,Assumptions!F28&gt;0),Assumptions!D28*Assumptions!C32,0)+IF(AND(Assumptions!F29&lt;=18,Assumptions!F29&gt;0),Assumptions!D29*Assumptions!C32,0)</f>
        <v>6250</v>
      </c>
      <c r="V27" s="40">
        <f>IF(AND(Assumptions!F20&lt;=19,Assumptions!F20&gt;0),Assumptions!D20*Assumptions!C32,0)+IF(AND(Assumptions!F21&lt;=19,Assumptions!F21&gt;0),Assumptions!D21*Assumptions!C32,0)+IF(AND(Assumptions!F22&lt;=19,Assumptions!F22&gt;0),Assumptions!D22*Assumptions!C32,0)+IF(AND(Assumptions!F23&lt;=19,Assumptions!F23&gt;0),Assumptions!D23*Assumptions!C32,0)+IF(AND(Assumptions!F24&lt;=19,Assumptions!F24&gt;0),Assumptions!D24*Assumptions!C32,0)+IF(AND(Assumptions!F25&lt;=19,Assumptions!F25&gt;0),Assumptions!D25*Assumptions!C32,0)+IF(AND(Assumptions!F26&lt;=19,Assumptions!F26&gt;0),Assumptions!D26*Assumptions!C32,0)+IF(AND(Assumptions!F27&lt;=19,Assumptions!F27&gt;0),Assumptions!D27*Assumptions!C32,0)+IF(AND(Assumptions!F28&lt;=19,Assumptions!F28&gt;0),Assumptions!D28*Assumptions!C32,0)+IF(AND(Assumptions!F29&lt;=19,Assumptions!F29&gt;0),Assumptions!D29*Assumptions!C32,0)</f>
        <v>6250</v>
      </c>
      <c r="W27" s="58">
        <f>IF(AND(Assumptions!F20&lt;=20,Assumptions!F20&gt;0),Assumptions!D20*Assumptions!C32,0)+IF(AND(Assumptions!F21&lt;=20,Assumptions!F21&gt;0),Assumptions!D21*Assumptions!C32,0)+IF(AND(Assumptions!F22&lt;=20,Assumptions!F22&gt;0),Assumptions!D22*Assumptions!C32,0)+IF(AND(Assumptions!F23&lt;=20,Assumptions!F23&gt;0),Assumptions!D23*Assumptions!C32,0)+IF(AND(Assumptions!F24&lt;=20,Assumptions!F24&gt;0),Assumptions!D24*Assumptions!C32,0)+IF(AND(Assumptions!F25&lt;=20,Assumptions!F25&gt;0),Assumptions!D25*Assumptions!C32,0)+IF(AND(Assumptions!F26&lt;=20,Assumptions!F26&gt;0),Assumptions!D26*Assumptions!C32,0)+IF(AND(Assumptions!F27&lt;=20,Assumptions!F27&gt;0),Assumptions!D27*Assumptions!C32,0)+IF(AND(Assumptions!F28&lt;=20,Assumptions!F28&gt;0),Assumptions!D28*Assumptions!C32,0)+IF(AND(Assumptions!F29&lt;=20,Assumptions!F29&gt;0),Assumptions!D29*Assumptions!C32,0)</f>
        <v>6250</v>
      </c>
      <c r="X27" s="40">
        <f>IF(AND(Assumptions!F20&lt;=21,Assumptions!F20&gt;0),Assumptions!D20*Assumptions!C32,0)+IF(AND(Assumptions!F21&lt;=21,Assumptions!F21&gt;0),Assumptions!D21*Assumptions!C32,0)+IF(AND(Assumptions!F22&lt;=21,Assumptions!F22&gt;0),Assumptions!D22*Assumptions!C32,0)+IF(AND(Assumptions!F23&lt;=21,Assumptions!F23&gt;0),Assumptions!D23*Assumptions!C32,0)+IF(AND(Assumptions!F24&lt;=21,Assumptions!F24&gt;0),Assumptions!D24*Assumptions!C32,0)+IF(AND(Assumptions!F25&lt;=21,Assumptions!F25&gt;0),Assumptions!D25*Assumptions!C32,0)+IF(AND(Assumptions!F26&lt;=21,Assumptions!F26&gt;0),Assumptions!D26*Assumptions!C32,0)+IF(AND(Assumptions!F27&lt;=21,Assumptions!F27&gt;0),Assumptions!D27*Assumptions!C32,0)+IF(AND(Assumptions!F28&lt;=21,Assumptions!F28&gt;0),Assumptions!D28*Assumptions!C32,0)+IF(AND(Assumptions!F29&lt;=21,Assumptions!F29&gt;0),Assumptions!D29*Assumptions!C32,0)</f>
        <v>6250</v>
      </c>
      <c r="Y27" s="58">
        <f>IF(AND(Assumptions!F20&lt;=22,Assumptions!F20&gt;0),Assumptions!D20*Assumptions!C32,0)+IF(AND(Assumptions!F21&lt;=22,Assumptions!F21&gt;0),Assumptions!D21*Assumptions!C32,0)+IF(AND(Assumptions!F22&lt;=22,Assumptions!F22&gt;0),Assumptions!D22*Assumptions!C32,0)+IF(AND(Assumptions!F23&lt;=22,Assumptions!F23&gt;0),Assumptions!D23*Assumptions!C32,0)+IF(AND(Assumptions!F24&lt;=22,Assumptions!F24&gt;0),Assumptions!D24*Assumptions!C32,0)+IF(AND(Assumptions!F25&lt;=22,Assumptions!F25&gt;0),Assumptions!D25*Assumptions!C32,0)+IF(AND(Assumptions!F26&lt;=22,Assumptions!F26&gt;0),Assumptions!D26*Assumptions!C32,0)+IF(AND(Assumptions!F27&lt;=22,Assumptions!F27&gt;0),Assumptions!D27*Assumptions!C32,0)+IF(AND(Assumptions!F28&lt;=22,Assumptions!F28&gt;0),Assumptions!D28*Assumptions!C32,0)+IF(AND(Assumptions!F29&lt;=22,Assumptions!F29&gt;0),Assumptions!D29*Assumptions!C32,0)</f>
        <v>6250</v>
      </c>
      <c r="Z27" s="40">
        <f>IF(AND(Assumptions!F20&lt;=23,Assumptions!F20&gt;0),Assumptions!D20*Assumptions!C32,0)+IF(AND(Assumptions!F21&lt;=23,Assumptions!F21&gt;0),Assumptions!D21*Assumptions!C32,0)+IF(AND(Assumptions!F22&lt;=23,Assumptions!F22&gt;0),Assumptions!D22*Assumptions!C32,0)+IF(AND(Assumptions!F23&lt;=23,Assumptions!F23&gt;0),Assumptions!D23*Assumptions!C32,0)+IF(AND(Assumptions!F24&lt;=23,Assumptions!F24&gt;0),Assumptions!D24*Assumptions!C32,0)+IF(AND(Assumptions!F25&lt;=23,Assumptions!F25&gt;0),Assumptions!D25*Assumptions!C32,0)+IF(AND(Assumptions!F26&lt;=23,Assumptions!F26&gt;0),Assumptions!D26*Assumptions!C32,0)+IF(AND(Assumptions!F27&lt;=23,Assumptions!F27&gt;0),Assumptions!D27*Assumptions!C32,0)+IF(AND(Assumptions!F28&lt;=23,Assumptions!F28&gt;0),Assumptions!D28*Assumptions!C32,0)+IF(AND(Assumptions!F29&lt;=23,Assumptions!F29&gt;0),Assumptions!D29*Assumptions!C32,0)</f>
        <v>6250</v>
      </c>
      <c r="AA27" s="58">
        <f>IF(AND(Assumptions!F20&lt;=24,Assumptions!F20&gt;0),Assumptions!D20*Assumptions!C32,0)+IF(AND(Assumptions!F21&lt;=24,Assumptions!F21&gt;0),Assumptions!D21*Assumptions!C32,0)+IF(AND(Assumptions!F22&lt;=24,Assumptions!F22&gt;0),Assumptions!D22*Assumptions!C32,0)+IF(AND(Assumptions!F23&lt;=24,Assumptions!F23&gt;0),Assumptions!D23*Assumptions!C32,0)+IF(AND(Assumptions!F24&lt;=24,Assumptions!F24&gt;0),Assumptions!D24*Assumptions!C32,0)+IF(AND(Assumptions!F25&lt;=24,Assumptions!F25&gt;0),Assumptions!D25*Assumptions!C32,0)+IF(AND(Assumptions!F26&lt;=24,Assumptions!F26&gt;0),Assumptions!D26*Assumptions!C32,0)+IF(AND(Assumptions!F27&lt;=24,Assumptions!F27&gt;0),Assumptions!D27*Assumptions!C32,0)+IF(AND(Assumptions!F28&lt;=24,Assumptions!F28&gt;0),Assumptions!D28*Assumptions!C32,0)+IF(AND(Assumptions!F29&lt;=24,Assumptions!F29&gt;0),Assumptions!D29*Assumptions!C32,0)</f>
        <v>6250</v>
      </c>
      <c r="AB27" s="59">
        <f t="shared" si="21"/>
        <v>75000</v>
      </c>
      <c r="AC27" s="40">
        <f>IF(AND(Assumptions!F20&lt;=25,Assumptions!F20&gt;0),Assumptions!D20*Assumptions!C32,0)+IF(AND(Assumptions!F21&lt;=25,Assumptions!F21&gt;0),Assumptions!D21*Assumptions!C32,0)+IF(AND(Assumptions!F22&lt;=25,Assumptions!F22&gt;0),Assumptions!D22*Assumptions!C32,0)+IF(AND(Assumptions!F23&lt;=25,Assumptions!F23&gt;0),Assumptions!D23*Assumptions!C32,0)+IF(AND(Assumptions!F24&lt;=25,Assumptions!F24&gt;0),Assumptions!D24*Assumptions!C32,0)+IF(AND(Assumptions!F25&lt;=25,Assumptions!F25&gt;0),Assumptions!D25*Assumptions!C32,0)+IF(AND(Assumptions!F26&lt;=25,Assumptions!F26&gt;0),Assumptions!D26*Assumptions!C32,0)+IF(AND(Assumptions!F27&lt;=25,Assumptions!F27&gt;0),Assumptions!D27*Assumptions!C32,0)+IF(AND(Assumptions!F28&lt;=25,Assumptions!F28&gt;0),Assumptions!D28*Assumptions!C32,0)+IF(AND(Assumptions!F29&lt;=25,Assumptions!F29&gt;0),Assumptions!D29*Assumptions!C32,0)</f>
        <v>6250</v>
      </c>
      <c r="AD27" s="58">
        <f>IF(AND(Assumptions!F20&lt;=26,Assumptions!F20&gt;0),Assumptions!D20*Assumptions!C32,0)+IF(AND(Assumptions!F21&lt;=26,Assumptions!F21&gt;0),Assumptions!D21*Assumptions!C32,0)+IF(AND(Assumptions!F22&lt;=26,Assumptions!F22&gt;0),Assumptions!D22*Assumptions!C32,0)+IF(AND(Assumptions!F23&lt;=26,Assumptions!F23&gt;0),Assumptions!D23*Assumptions!C32,0)+IF(AND(Assumptions!F24&lt;=26,Assumptions!F24&gt;0),Assumptions!D24*Assumptions!C32,0)+IF(AND(Assumptions!F25&lt;=26,Assumptions!F25&gt;0),Assumptions!D25*Assumptions!C32,0)+IF(AND(Assumptions!F26&lt;=26,Assumptions!F26&gt;0),Assumptions!D26*Assumptions!C32,0)+IF(AND(Assumptions!F27&lt;=26,Assumptions!F27&gt;0),Assumptions!D27*Assumptions!C32,0)+IF(AND(Assumptions!F28&lt;=26,Assumptions!F28&gt;0),Assumptions!D28*Assumptions!C32,0)+IF(AND(Assumptions!F29&lt;=26,Assumptions!F29&gt;0),Assumptions!D29*Assumptions!C32,0)</f>
        <v>6250</v>
      </c>
      <c r="AE27" s="40">
        <f>IF(AND(Assumptions!F20&lt;=27,Assumptions!F20&gt;0),Assumptions!D20*Assumptions!C32,0)+IF(AND(Assumptions!F21&lt;=27,Assumptions!F21&gt;0),Assumptions!D21*Assumptions!C32,0)+IF(AND(Assumptions!F22&lt;=27,Assumptions!F22&gt;0),Assumptions!D22*Assumptions!C32,0)+IF(AND(Assumptions!F23&lt;=27,Assumptions!F23&gt;0),Assumptions!D23*Assumptions!C32,0)+IF(AND(Assumptions!F24&lt;=27,Assumptions!F24&gt;0),Assumptions!D24*Assumptions!C32,0)+IF(AND(Assumptions!F25&lt;=27,Assumptions!F25&gt;0),Assumptions!D25*Assumptions!C32,0)+IF(AND(Assumptions!F26&lt;=27,Assumptions!F26&gt;0),Assumptions!D26*Assumptions!C32,0)+IF(AND(Assumptions!F27&lt;=27,Assumptions!F27&gt;0),Assumptions!D27*Assumptions!C32,0)+IF(AND(Assumptions!F28&lt;=27,Assumptions!F28&gt;0),Assumptions!D28*Assumptions!C32,0)+IF(AND(Assumptions!F29&lt;=27,Assumptions!F29&gt;0),Assumptions!D29*Assumptions!C32,0)</f>
        <v>6250</v>
      </c>
      <c r="AF27" s="58">
        <f>IF(AND(Assumptions!F20&lt;=28,Assumptions!F20&gt;0),Assumptions!D20*Assumptions!C32,0)+IF(AND(Assumptions!F21&lt;=28,Assumptions!F21&gt;0),Assumptions!D21*Assumptions!C32,0)+IF(AND(Assumptions!F22&lt;=28,Assumptions!F22&gt;0),Assumptions!D22*Assumptions!C32,0)+IF(AND(Assumptions!F23&lt;=28,Assumptions!F23&gt;0),Assumptions!D23*Assumptions!C32,0)+IF(AND(Assumptions!F24&lt;=28,Assumptions!F24&gt;0),Assumptions!D24*Assumptions!C32,0)+IF(AND(Assumptions!F25&lt;=28,Assumptions!F25&gt;0),Assumptions!D25*Assumptions!C32,0)+IF(AND(Assumptions!F26&lt;=28,Assumptions!F26&gt;0),Assumptions!D26*Assumptions!C32,0)+IF(AND(Assumptions!F27&lt;=28,Assumptions!F27&gt;0),Assumptions!D27*Assumptions!C32,0)+IF(AND(Assumptions!F28&lt;=28,Assumptions!F28&gt;0),Assumptions!D28*Assumptions!C32,0)+IF(AND(Assumptions!F29&lt;=28,Assumptions!F29&gt;0),Assumptions!D29*Assumptions!C32,0)</f>
        <v>6250</v>
      </c>
      <c r="AG27" s="40">
        <f>IF(AND(Assumptions!F20&lt;=29,Assumptions!F20&gt;0),Assumptions!D20*Assumptions!C32,0)+IF(AND(Assumptions!F21&lt;=29,Assumptions!F21&gt;0),Assumptions!D21*Assumptions!C32,0)+IF(AND(Assumptions!F22&lt;=29,Assumptions!F22&gt;0),Assumptions!D22*Assumptions!C32,0)+IF(AND(Assumptions!F23&lt;=29,Assumptions!F23&gt;0),Assumptions!D23*Assumptions!C32,0)+IF(AND(Assumptions!F24&lt;=29,Assumptions!F24&gt;0),Assumptions!D24*Assumptions!C32,0)+IF(AND(Assumptions!F25&lt;=29,Assumptions!F25&gt;0),Assumptions!D25*Assumptions!C32,0)+IF(AND(Assumptions!F26&lt;=29,Assumptions!F26&gt;0),Assumptions!D26*Assumptions!C32,0)+IF(AND(Assumptions!F27&lt;=29,Assumptions!F27&gt;0),Assumptions!D27*Assumptions!C32,0)+IF(AND(Assumptions!F28&lt;=29,Assumptions!F28&gt;0),Assumptions!D28*Assumptions!C32,0)+IF(AND(Assumptions!F29&lt;=29,Assumptions!F29&gt;0),Assumptions!D29*Assumptions!C32,0)</f>
        <v>6250</v>
      </c>
      <c r="AH27" s="58">
        <f>IF(AND(Assumptions!F20&lt;=30,Assumptions!F20&gt;0),Assumptions!D20*Assumptions!C32,0)+IF(AND(Assumptions!F21&lt;=30,Assumptions!F21&gt;0),Assumptions!D21*Assumptions!C32,0)+IF(AND(Assumptions!F22&lt;=30,Assumptions!F22&gt;0),Assumptions!D22*Assumptions!C32,0)+IF(AND(Assumptions!F23&lt;=30,Assumptions!F23&gt;0),Assumptions!D23*Assumptions!C32,0)+IF(AND(Assumptions!F24&lt;=30,Assumptions!F24&gt;0),Assumptions!D24*Assumptions!C32,0)+IF(AND(Assumptions!F25&lt;=30,Assumptions!F25&gt;0),Assumptions!D25*Assumptions!C32,0)+IF(AND(Assumptions!F26&lt;=30,Assumptions!F26&gt;0),Assumptions!D26*Assumptions!C32,0)+IF(AND(Assumptions!F27&lt;=30,Assumptions!F27&gt;0),Assumptions!D27*Assumptions!C32,0)+IF(AND(Assumptions!F28&lt;=30,Assumptions!F28&gt;0),Assumptions!D28*Assumptions!C32,0)+IF(AND(Assumptions!F29&lt;=30,Assumptions!F29&gt;0),Assumptions!D29*Assumptions!C32,0)</f>
        <v>6250</v>
      </c>
      <c r="AI27" s="40">
        <f>IF(AND(Assumptions!F20&lt;=31,Assumptions!F20&gt;0),Assumptions!D20*Assumptions!C32,0)+IF(AND(Assumptions!F21&lt;=31,Assumptions!F21&gt;0),Assumptions!D21*Assumptions!C32,0)+IF(AND(Assumptions!F22&lt;=31,Assumptions!F22&gt;0),Assumptions!D22*Assumptions!C32,0)+IF(AND(Assumptions!F23&lt;=31,Assumptions!F23&gt;0),Assumptions!D23*Assumptions!C32,0)+IF(AND(Assumptions!F24&lt;=31,Assumptions!F24&gt;0),Assumptions!D24*Assumptions!C32,0)+IF(AND(Assumptions!F25&lt;=31,Assumptions!F25&gt;0),Assumptions!D25*Assumptions!C32,0)+IF(AND(Assumptions!F26&lt;=31,Assumptions!F26&gt;0),Assumptions!D26*Assumptions!C32,0)+IF(AND(Assumptions!F27&lt;=31,Assumptions!F27&gt;0),Assumptions!D27*Assumptions!C32,0)+IF(AND(Assumptions!F28&lt;=31,Assumptions!F28&gt;0),Assumptions!D28*Assumptions!C32,0)+IF(AND(Assumptions!F29&lt;=31,Assumptions!F29&gt;0),Assumptions!D29*Assumptions!C32,0)</f>
        <v>6250</v>
      </c>
      <c r="AJ27" s="58">
        <f>IF(AND(Assumptions!F20&lt;=32,Assumptions!F20&gt;0),Assumptions!D20*Assumptions!C32,0)+IF(AND(Assumptions!F21&lt;=32,Assumptions!F21&gt;0),Assumptions!D21*Assumptions!C32,0)+IF(AND(Assumptions!F22&lt;=32,Assumptions!F22&gt;0),Assumptions!D22*Assumptions!C32,0)+IF(AND(Assumptions!F23&lt;=32,Assumptions!F23&gt;0),Assumptions!D23*Assumptions!C32,0)+IF(AND(Assumptions!F24&lt;=32,Assumptions!F24&gt;0),Assumptions!D24*Assumptions!C32,0)+IF(AND(Assumptions!F25&lt;=32,Assumptions!F25&gt;0),Assumptions!D25*Assumptions!C32,0)+IF(AND(Assumptions!F26&lt;=32,Assumptions!F26&gt;0),Assumptions!D26*Assumptions!C32,0)+IF(AND(Assumptions!F27&lt;=32,Assumptions!F27&gt;0),Assumptions!D27*Assumptions!C32,0)+IF(AND(Assumptions!F28&lt;=32,Assumptions!F28&gt;0),Assumptions!D28*Assumptions!C32,0)+IF(AND(Assumptions!F29&lt;=32,Assumptions!F29&gt;0),Assumptions!D29*Assumptions!C32,0)</f>
        <v>6250</v>
      </c>
      <c r="AK27" s="40">
        <f>IF(AND(Assumptions!F20&lt;=33,Assumptions!F20&gt;0),Assumptions!D20*Assumptions!C32,0)+IF(AND(Assumptions!F21&lt;=33,Assumptions!F21&gt;0),Assumptions!D21*Assumptions!C32,0)+IF(AND(Assumptions!F22&lt;=33,Assumptions!F22&gt;0),Assumptions!D22*Assumptions!C32,0)+IF(AND(Assumptions!F23&lt;=33,Assumptions!F23&gt;0),Assumptions!D23*Assumptions!C32,0)+IF(AND(Assumptions!F24&lt;=33,Assumptions!F24&gt;0),Assumptions!D24*Assumptions!C32,0)+IF(AND(Assumptions!F25&lt;=33,Assumptions!F25&gt;0),Assumptions!D25*Assumptions!C32,0)+IF(AND(Assumptions!F26&lt;=33,Assumptions!F26&gt;0),Assumptions!D26*Assumptions!C32,0)+IF(AND(Assumptions!F27&lt;=33,Assumptions!F27&gt;0),Assumptions!D27*Assumptions!C32,0)+IF(AND(Assumptions!F28&lt;=33,Assumptions!F28&gt;0),Assumptions!D28*Assumptions!C32,0)+IF(AND(Assumptions!F29&lt;=33,Assumptions!F29&gt;0),Assumptions!D29*Assumptions!C32,0)</f>
        <v>6250</v>
      </c>
      <c r="AL27" s="58">
        <f>IF(AND(Assumptions!F20&lt;=34,Assumptions!F20&gt;0),Assumptions!D20*Assumptions!C32,0)+IF(AND(Assumptions!F21&lt;=34,Assumptions!F21&gt;0),Assumptions!D21*Assumptions!C32,0)+IF(AND(Assumptions!F22&lt;=34,Assumptions!F22&gt;0),Assumptions!D22*Assumptions!C32,0)+IF(AND(Assumptions!F23&lt;=34,Assumptions!F23&gt;0),Assumptions!D23*Assumptions!C32,0)+IF(AND(Assumptions!F24&lt;=34,Assumptions!F24&gt;0),Assumptions!D24*Assumptions!C32,0)+IF(AND(Assumptions!F25&lt;=34,Assumptions!F25&gt;0),Assumptions!D25*Assumptions!C32,0)+IF(AND(Assumptions!F26&lt;=34,Assumptions!F26&gt;0),Assumptions!D26*Assumptions!C32,0)+IF(AND(Assumptions!F27&lt;=34,Assumptions!F27&gt;0),Assumptions!D27*Assumptions!C32,0)+IF(AND(Assumptions!F28&lt;=34,Assumptions!F28&gt;0),Assumptions!D28*Assumptions!C32,0)+IF(AND(Assumptions!F29&lt;=34,Assumptions!F29&gt;0),Assumptions!D29*Assumptions!C32,0)</f>
        <v>6250</v>
      </c>
      <c r="AM27" s="40">
        <f>IF(AND(Assumptions!F20&lt;=35,Assumptions!F20&gt;0),Assumptions!D20*Assumptions!C32,0)+IF(AND(Assumptions!F21&lt;=35,Assumptions!F21&gt;0),Assumptions!D21*Assumptions!C32,0)+IF(AND(Assumptions!F22&lt;=35,Assumptions!F22&gt;0),Assumptions!D22*Assumptions!C32,0)+IF(AND(Assumptions!F23&lt;=35,Assumptions!F23&gt;0),Assumptions!D23*Assumptions!C32,0)+IF(AND(Assumptions!F24&lt;=35,Assumptions!F24&gt;0),Assumptions!D24*Assumptions!C32,0)+IF(AND(Assumptions!F25&lt;=35,Assumptions!F25&gt;0),Assumptions!D25*Assumptions!C32,0)+IF(AND(Assumptions!F26&lt;=35,Assumptions!F26&gt;0),Assumptions!D26*Assumptions!C32,0)+IF(AND(Assumptions!F27&lt;=35,Assumptions!F27&gt;0),Assumptions!D27*Assumptions!C32,0)+IF(AND(Assumptions!F28&lt;=35,Assumptions!F28&gt;0),Assumptions!D28*Assumptions!C32,0)+IF(AND(Assumptions!F29&lt;=35,Assumptions!F29&gt;0),Assumptions!D29*Assumptions!C32,0)</f>
        <v>6250</v>
      </c>
      <c r="AN27" s="58">
        <f>IF(AND(Assumptions!F20&lt;=36,Assumptions!F20&gt;0),Assumptions!D20*Assumptions!C32,0)+IF(AND(Assumptions!F21&lt;=36,Assumptions!F21&gt;0),Assumptions!D21*Assumptions!C32,0)+IF(AND(Assumptions!F22&lt;=36,Assumptions!F22&gt;0),Assumptions!D22*Assumptions!C32,0)+IF(AND(Assumptions!F23&lt;=36,Assumptions!F23&gt;0),Assumptions!D23*Assumptions!C32,0)+IF(AND(Assumptions!F24&lt;=36,Assumptions!F24&gt;0),Assumptions!D24*Assumptions!C32,0)+IF(AND(Assumptions!F25&lt;=36,Assumptions!F25&gt;0),Assumptions!D25*Assumptions!C32,0)+IF(AND(Assumptions!F26&lt;=36,Assumptions!F26&gt;0),Assumptions!D26*Assumptions!C32,0)+IF(AND(Assumptions!F27&lt;=36,Assumptions!F27&gt;0),Assumptions!D27*Assumptions!C32,0)+IF(AND(Assumptions!F28&lt;=36,Assumptions!F28&gt;0),Assumptions!D28*Assumptions!C32,0)+IF(AND(Assumptions!F29&lt;=36,Assumptions!F29&gt;0),Assumptions!D29*Assumptions!C32,0)</f>
        <v>6250</v>
      </c>
      <c r="AO27" s="59">
        <f t="shared" si="22"/>
        <v>75000</v>
      </c>
      <c r="AP27" s="40">
        <f>IF(AND(Assumptions!F20&lt;=37,Assumptions!F20&gt;0),Assumptions!D20*Assumptions!C32,0)+IF(AND(Assumptions!F21&lt;=37,Assumptions!F21&gt;0),Assumptions!D21*Assumptions!C32,0)+IF(AND(Assumptions!F22&lt;=37,Assumptions!F22&gt;0),Assumptions!D22*Assumptions!C32,0)+IF(AND(Assumptions!F23&lt;=37,Assumptions!F23&gt;0),Assumptions!D23*Assumptions!C32,0)+IF(AND(Assumptions!F24&lt;=37,Assumptions!F24&gt;0),Assumptions!D24*Assumptions!C32,0)+IF(AND(Assumptions!F25&lt;=37,Assumptions!F25&gt;0),Assumptions!D25*Assumptions!C32,0)+IF(AND(Assumptions!F26&lt;=37,Assumptions!F26&gt;0),Assumptions!D26*Assumptions!C32,0)+IF(AND(Assumptions!F27&lt;=37,Assumptions!F27&gt;0),Assumptions!D27*Assumptions!C32,0)+IF(AND(Assumptions!F28&lt;=37,Assumptions!F28&gt;0),Assumptions!D28*Assumptions!C32,0)+IF(AND(Assumptions!F29&lt;=37,Assumptions!F29&gt;0),Assumptions!D29*Assumptions!C32,0)</f>
        <v>6250</v>
      </c>
      <c r="AQ27" s="58">
        <f>IF(AND(Assumptions!F20&lt;=38,Assumptions!F20&gt;0),Assumptions!D20*Assumptions!C32,0)+IF(AND(Assumptions!F21&lt;=38,Assumptions!F21&gt;0),Assumptions!D21*Assumptions!C32,0)+IF(AND(Assumptions!F22&lt;=38,Assumptions!F22&gt;0),Assumptions!D22*Assumptions!C32,0)+IF(AND(Assumptions!F23&lt;=38,Assumptions!F23&gt;0),Assumptions!D23*Assumptions!C32,0)+IF(AND(Assumptions!F24&lt;=38,Assumptions!F24&gt;0),Assumptions!D24*Assumptions!C32,0)+IF(AND(Assumptions!F25&lt;=38,Assumptions!F25&gt;0),Assumptions!D25*Assumptions!C32,0)+IF(AND(Assumptions!F26&lt;=38,Assumptions!F26&gt;0),Assumptions!D26*Assumptions!C32,0)+IF(AND(Assumptions!F27&lt;=38,Assumptions!F27&gt;0),Assumptions!D27*Assumptions!C32,0)+IF(AND(Assumptions!F28&lt;=38,Assumptions!F28&gt;0),Assumptions!D28*Assumptions!C32,0)+IF(AND(Assumptions!F29&lt;=38,Assumptions!F29&gt;0),Assumptions!D29*Assumptions!C32,0)</f>
        <v>6250</v>
      </c>
      <c r="AR27" s="40">
        <f>IF(AND(Assumptions!F20&lt;=39,Assumptions!F20&gt;0),Assumptions!D20*Assumptions!C32,0)+IF(AND(Assumptions!F21&lt;=39,Assumptions!F21&gt;0),Assumptions!D21*Assumptions!C32,0)+IF(AND(Assumptions!F22&lt;=39,Assumptions!F22&gt;0),Assumptions!D22*Assumptions!C32,0)+IF(AND(Assumptions!F23&lt;=39,Assumptions!F23&gt;0),Assumptions!D23*Assumptions!C32,0)+IF(AND(Assumptions!F24&lt;=39,Assumptions!F24&gt;0),Assumptions!D24*Assumptions!C32,0)+IF(AND(Assumptions!F25&lt;=39,Assumptions!F25&gt;0),Assumptions!D25*Assumptions!C32,0)+IF(AND(Assumptions!F26&lt;=39,Assumptions!F26&gt;0),Assumptions!D26*Assumptions!C32,0)+IF(AND(Assumptions!F27&lt;=39,Assumptions!F27&gt;0),Assumptions!D27*Assumptions!C32,0)+IF(AND(Assumptions!F28&lt;=39,Assumptions!F28&gt;0),Assumptions!D28*Assumptions!C32,0)+IF(AND(Assumptions!F29&lt;=39,Assumptions!F29&gt;0),Assumptions!D29*Assumptions!C32,0)</f>
        <v>6250</v>
      </c>
      <c r="AS27" s="58">
        <f>IF(AND(Assumptions!F20&lt;=40,Assumptions!F20&gt;0),Assumptions!D20*Assumptions!C32,0)+IF(AND(Assumptions!F21&lt;=40,Assumptions!F21&gt;0),Assumptions!D21*Assumptions!C32,0)+IF(AND(Assumptions!F22&lt;=40,Assumptions!F22&gt;0),Assumptions!D22*Assumptions!C32,0)+IF(AND(Assumptions!F23&lt;=40,Assumptions!F23&gt;0),Assumptions!D23*Assumptions!C32,0)+IF(AND(Assumptions!F24&lt;=40,Assumptions!F24&gt;0),Assumptions!D24*Assumptions!C32,0)+IF(AND(Assumptions!F25&lt;=40,Assumptions!F25&gt;0),Assumptions!D25*Assumptions!C32,0)+IF(AND(Assumptions!F26&lt;=40,Assumptions!F26&gt;0),Assumptions!D26*Assumptions!C32,0)+IF(AND(Assumptions!F27&lt;=40,Assumptions!F27&gt;0),Assumptions!D27*Assumptions!C32,0)+IF(AND(Assumptions!F28&lt;=40,Assumptions!F28&gt;0),Assumptions!D28*Assumptions!C32,0)+IF(AND(Assumptions!F29&lt;=40,Assumptions!F29&gt;0),Assumptions!D29*Assumptions!C32,0)</f>
        <v>6250</v>
      </c>
      <c r="AT27" s="40">
        <f>IF(AND(Assumptions!F20&lt;=41,Assumptions!F20&gt;0),Assumptions!D20*Assumptions!C32,0)+IF(AND(Assumptions!F21&lt;=41,Assumptions!F21&gt;0),Assumptions!D21*Assumptions!C32,0)+IF(AND(Assumptions!F22&lt;=41,Assumptions!F22&gt;0),Assumptions!D22*Assumptions!C32,0)+IF(AND(Assumptions!F23&lt;=41,Assumptions!F23&gt;0),Assumptions!D23*Assumptions!C32,0)+IF(AND(Assumptions!F24&lt;=41,Assumptions!F24&gt;0),Assumptions!D24*Assumptions!C32,0)+IF(AND(Assumptions!F25&lt;=41,Assumptions!F25&gt;0),Assumptions!D25*Assumptions!C32,0)+IF(AND(Assumptions!F26&lt;=41,Assumptions!F26&gt;0),Assumptions!D26*Assumptions!C32,0)+IF(AND(Assumptions!F27&lt;=41,Assumptions!F27&gt;0),Assumptions!D27*Assumptions!C32,0)+IF(AND(Assumptions!F28&lt;=41,Assumptions!F28&gt;0),Assumptions!D28*Assumptions!C32,0)+IF(AND(Assumptions!F29&lt;=41,Assumptions!F29&gt;0),Assumptions!D29*Assumptions!C32,0)</f>
        <v>6250</v>
      </c>
      <c r="AU27" s="58">
        <f>IF(AND(Assumptions!F20&lt;=42,Assumptions!F20&gt;0),Assumptions!D20*Assumptions!C32,0)+IF(AND(Assumptions!F21&lt;=42,Assumptions!F21&gt;0),Assumptions!D21*Assumptions!C32,0)+IF(AND(Assumptions!F22&lt;=42,Assumptions!F22&gt;0),Assumptions!D22*Assumptions!C32,0)+IF(AND(Assumptions!F23&lt;=42,Assumptions!F23&gt;0),Assumptions!D23*Assumptions!C32,0)+IF(AND(Assumptions!F24&lt;=42,Assumptions!F24&gt;0),Assumptions!D24*Assumptions!C32,0)+IF(AND(Assumptions!F25&lt;=42,Assumptions!F25&gt;0),Assumptions!D25*Assumptions!C32,0)+IF(AND(Assumptions!F26&lt;=42,Assumptions!F26&gt;0),Assumptions!D26*Assumptions!C32,0)+IF(AND(Assumptions!F27&lt;=42,Assumptions!F27&gt;0),Assumptions!D27*Assumptions!C32,0)+IF(AND(Assumptions!F28&lt;=42,Assumptions!F28&gt;0),Assumptions!D28*Assumptions!C32,0)+IF(AND(Assumptions!F29&lt;=42,Assumptions!F29&gt;0),Assumptions!D29*Assumptions!C32,0)</f>
        <v>6250</v>
      </c>
      <c r="AV27" s="40">
        <f>IF(AND(Assumptions!F20&lt;=43,Assumptions!F20&gt;0),Assumptions!D20*Assumptions!C32,0)+IF(AND(Assumptions!F21&lt;=43,Assumptions!F21&gt;0),Assumptions!D21*Assumptions!C32,0)+IF(AND(Assumptions!F22&lt;=43,Assumptions!F22&gt;0),Assumptions!D22*Assumptions!C32,0)+IF(AND(Assumptions!F23&lt;=43,Assumptions!F23&gt;0),Assumptions!D23*Assumptions!C32,0)+IF(AND(Assumptions!F24&lt;=43,Assumptions!F24&gt;0),Assumptions!D24*Assumptions!C32,0)+IF(AND(Assumptions!F25&lt;=43,Assumptions!F25&gt;0),Assumptions!D25*Assumptions!C32,0)+IF(AND(Assumptions!F26&lt;=43,Assumptions!F26&gt;0),Assumptions!D26*Assumptions!C32,0)+IF(AND(Assumptions!F27&lt;=43,Assumptions!F27&gt;0),Assumptions!D27*Assumptions!C32,0)+IF(AND(Assumptions!F28&lt;=43,Assumptions!F28&gt;0),Assumptions!D28*Assumptions!C32,0)+IF(AND(Assumptions!F29&lt;=43,Assumptions!F29&gt;0),Assumptions!D29*Assumptions!C32,0)</f>
        <v>6250</v>
      </c>
      <c r="AW27" s="58">
        <f>IF(AND(Assumptions!F20&lt;=44,Assumptions!F20&gt;0),Assumptions!D20*Assumptions!C32,0)+IF(AND(Assumptions!F21&lt;=44,Assumptions!F21&gt;0),Assumptions!D21*Assumptions!C32,0)+IF(AND(Assumptions!F22&lt;=44,Assumptions!F22&gt;0),Assumptions!D22*Assumptions!C32,0)+IF(AND(Assumptions!F23&lt;=44,Assumptions!F23&gt;0),Assumptions!D23*Assumptions!C32,0)+IF(AND(Assumptions!F24&lt;=44,Assumptions!F24&gt;0),Assumptions!D24*Assumptions!C32,0)+IF(AND(Assumptions!F25&lt;=44,Assumptions!F25&gt;0),Assumptions!D25*Assumptions!C32,0)+IF(AND(Assumptions!F26&lt;=44,Assumptions!F26&gt;0),Assumptions!D26*Assumptions!C32,0)+IF(AND(Assumptions!F27&lt;=44,Assumptions!F27&gt;0),Assumptions!D27*Assumptions!C32,0)+IF(AND(Assumptions!F28&lt;=44,Assumptions!F28&gt;0),Assumptions!D28*Assumptions!C32,0)+IF(AND(Assumptions!F29&lt;=44,Assumptions!F29&gt;0),Assumptions!D29*Assumptions!C32,0)</f>
        <v>6250</v>
      </c>
      <c r="AX27" s="40">
        <f>IF(AND(Assumptions!F20&lt;=45,Assumptions!F20&gt;0),Assumptions!D20*Assumptions!C32,0)+IF(AND(Assumptions!F21&lt;=45,Assumptions!F21&gt;0),Assumptions!D21*Assumptions!C32,0)+IF(AND(Assumptions!F22&lt;=45,Assumptions!F22&gt;0),Assumptions!D22*Assumptions!C32,0)+IF(AND(Assumptions!F23&lt;=45,Assumptions!F23&gt;0),Assumptions!D23*Assumptions!C32,0)+IF(AND(Assumptions!F24&lt;=45,Assumptions!F24&gt;0),Assumptions!D24*Assumptions!C32,0)+IF(AND(Assumptions!F25&lt;=45,Assumptions!F25&gt;0),Assumptions!D25*Assumptions!C32,0)+IF(AND(Assumptions!F26&lt;=45,Assumptions!F26&gt;0),Assumptions!D26*Assumptions!C32,0)+IF(AND(Assumptions!F27&lt;=45,Assumptions!F27&gt;0),Assumptions!D27*Assumptions!C32,0)+IF(AND(Assumptions!F28&lt;=45,Assumptions!F28&gt;0),Assumptions!D28*Assumptions!C32,0)+IF(AND(Assumptions!F29&lt;=45,Assumptions!F29&gt;0),Assumptions!D29*Assumptions!C32,0)</f>
        <v>6250</v>
      </c>
      <c r="AY27" s="58">
        <f>IF(AND(Assumptions!F20&lt;=46,Assumptions!F20&gt;0),Assumptions!D20*Assumptions!C32,0)+IF(AND(Assumptions!F21&lt;=46,Assumptions!F21&gt;0),Assumptions!D21*Assumptions!C32,0)+IF(AND(Assumptions!F22&lt;=46,Assumptions!F22&gt;0),Assumptions!D22*Assumptions!C32,0)+IF(AND(Assumptions!F23&lt;=46,Assumptions!F23&gt;0),Assumptions!D23*Assumptions!C32,0)+IF(AND(Assumptions!F24&lt;=46,Assumptions!F24&gt;0),Assumptions!D24*Assumptions!C32,0)+IF(AND(Assumptions!F25&lt;=46,Assumptions!F25&gt;0),Assumptions!D25*Assumptions!C32,0)+IF(AND(Assumptions!F26&lt;=46,Assumptions!F26&gt;0),Assumptions!D26*Assumptions!C32,0)+IF(AND(Assumptions!F27&lt;=46,Assumptions!F27&gt;0),Assumptions!D27*Assumptions!C32,0)+IF(AND(Assumptions!F28&lt;=46,Assumptions!F28&gt;0),Assumptions!D28*Assumptions!C32,0)+IF(AND(Assumptions!F29&lt;=46,Assumptions!F29&gt;0),Assumptions!D29*Assumptions!C32,0)</f>
        <v>6250</v>
      </c>
      <c r="AZ27" s="40">
        <f>IF(AND(Assumptions!F20&lt;=47,Assumptions!F20&gt;0),Assumptions!D20*Assumptions!C32,0)+IF(AND(Assumptions!F21&lt;=47,Assumptions!F21&gt;0),Assumptions!D21*Assumptions!C32,0)+IF(AND(Assumptions!F22&lt;=47,Assumptions!F22&gt;0),Assumptions!D22*Assumptions!C32,0)+IF(AND(Assumptions!F23&lt;=47,Assumptions!F23&gt;0),Assumptions!D23*Assumptions!C32,0)+IF(AND(Assumptions!F24&lt;=47,Assumptions!F24&gt;0),Assumptions!D24*Assumptions!C32,0)+IF(AND(Assumptions!F25&lt;=47,Assumptions!F25&gt;0),Assumptions!D25*Assumptions!C32,0)+IF(AND(Assumptions!F26&lt;=47,Assumptions!F26&gt;0),Assumptions!D26*Assumptions!C32,0)+IF(AND(Assumptions!F27&lt;=47,Assumptions!F27&gt;0),Assumptions!D27*Assumptions!C32,0)+IF(AND(Assumptions!F28&lt;=47,Assumptions!F28&gt;0),Assumptions!D28*Assumptions!C32,0)+IF(AND(Assumptions!F29&lt;=47,Assumptions!F29&gt;0),Assumptions!D29*Assumptions!C32,0)</f>
        <v>6250</v>
      </c>
      <c r="BA27" s="58">
        <f>IF(AND(Assumptions!F20&lt;=48,Assumptions!F20&gt;0),Assumptions!D20*Assumptions!C32,0)+IF(AND(Assumptions!F21&lt;=48,Assumptions!F21&gt;0),Assumptions!D21*Assumptions!C32,0)+IF(AND(Assumptions!F22&lt;=48,Assumptions!F22&gt;0),Assumptions!D22*Assumptions!C32,0)+IF(AND(Assumptions!F23&lt;=48,Assumptions!F23&gt;0),Assumptions!D23*Assumptions!C32,0)+IF(AND(Assumptions!F24&lt;=48,Assumptions!F24&gt;0),Assumptions!D24*Assumptions!C32,0)+IF(AND(Assumptions!F25&lt;=48,Assumptions!F25&gt;0),Assumptions!D25*Assumptions!C32,0)+IF(AND(Assumptions!F26&lt;=48,Assumptions!F26&gt;0),Assumptions!D26*Assumptions!C32,0)+IF(AND(Assumptions!F27&lt;=48,Assumptions!F27&gt;0),Assumptions!D27*Assumptions!C32,0)+IF(AND(Assumptions!F28&lt;=48,Assumptions!F28&gt;0),Assumptions!D28*Assumptions!C32,0)+IF(AND(Assumptions!F29&lt;=48,Assumptions!F29&gt;0),Assumptions!D29*Assumptions!C32,0)</f>
        <v>6250</v>
      </c>
      <c r="BB27" s="59">
        <f t="shared" si="23"/>
        <v>75000</v>
      </c>
      <c r="BC27" s="40">
        <f>IF(AND(Assumptions!F20&lt;=49,Assumptions!F20&gt;0),Assumptions!D20*Assumptions!C32,0)+IF(AND(Assumptions!F21&lt;=49,Assumptions!F21&gt;0),Assumptions!D21*Assumptions!C32,0)+IF(AND(Assumptions!F22&lt;=49,Assumptions!F22&gt;0),Assumptions!D22*Assumptions!C32,0)+IF(AND(Assumptions!F23&lt;=49,Assumptions!F23&gt;0),Assumptions!D23*Assumptions!C32,0)+IF(AND(Assumptions!F24&lt;=49,Assumptions!F24&gt;0),Assumptions!D24*Assumptions!C32,0)+IF(AND(Assumptions!F25&lt;=49,Assumptions!F25&gt;0),Assumptions!D25*Assumptions!C32,0)+IF(AND(Assumptions!F26&lt;=49,Assumptions!F26&gt;0),Assumptions!D26*Assumptions!C32,0)+IF(AND(Assumptions!F27&lt;=49,Assumptions!F27&gt;0),Assumptions!D27*Assumptions!C32,0)+IF(AND(Assumptions!F28&lt;=49,Assumptions!F28&gt;0),Assumptions!D28*Assumptions!C32,0)+IF(AND(Assumptions!F29&lt;=49,Assumptions!F29&gt;0),Assumptions!D29*Assumptions!C32,0)</f>
        <v>6250</v>
      </c>
      <c r="BD27" s="58">
        <f>IF(AND(Assumptions!F20&lt;=50,Assumptions!F20&gt;0),Assumptions!D20*Assumptions!C32,0)+IF(AND(Assumptions!F21&lt;=50,Assumptions!F21&gt;0),Assumptions!D21*Assumptions!C32,0)+IF(AND(Assumptions!F22&lt;=50,Assumptions!F22&gt;0),Assumptions!D22*Assumptions!C32,0)+IF(AND(Assumptions!F23&lt;=50,Assumptions!F23&gt;0),Assumptions!D23*Assumptions!C32,0)+IF(AND(Assumptions!F24&lt;=50,Assumptions!F24&gt;0),Assumptions!D24*Assumptions!C32,0)+IF(AND(Assumptions!F25&lt;=50,Assumptions!F25&gt;0),Assumptions!D25*Assumptions!C32,0)+IF(AND(Assumptions!F26&lt;=50,Assumptions!F26&gt;0),Assumptions!D26*Assumptions!C32,0)+IF(AND(Assumptions!F27&lt;=50,Assumptions!F27&gt;0),Assumptions!D27*Assumptions!C32,0)+IF(AND(Assumptions!F28&lt;=50,Assumptions!F28&gt;0),Assumptions!D28*Assumptions!C32,0)+IF(AND(Assumptions!F29&lt;=50,Assumptions!F29&gt;0),Assumptions!D29*Assumptions!C32,0)</f>
        <v>6250</v>
      </c>
      <c r="BE27" s="40">
        <f>IF(AND(Assumptions!F20&lt;=51,Assumptions!F20&gt;0),Assumptions!D20*Assumptions!C32,0)+IF(AND(Assumptions!F21&lt;=51,Assumptions!F21&gt;0),Assumptions!D21*Assumptions!C32,0)+IF(AND(Assumptions!F22&lt;=51,Assumptions!F22&gt;0),Assumptions!D22*Assumptions!C32,0)+IF(AND(Assumptions!F23&lt;=51,Assumptions!F23&gt;0),Assumptions!D23*Assumptions!C32,0)+IF(AND(Assumptions!F24&lt;=51,Assumptions!F24&gt;0),Assumptions!D24*Assumptions!C32,0)+IF(AND(Assumptions!F25&lt;=51,Assumptions!F25&gt;0),Assumptions!D25*Assumptions!C32,0)+IF(AND(Assumptions!F26&lt;=51,Assumptions!F26&gt;0),Assumptions!D26*Assumptions!C32,0)+IF(AND(Assumptions!F27&lt;=51,Assumptions!F27&gt;0),Assumptions!D27*Assumptions!C32,0)+IF(AND(Assumptions!F28&lt;=51,Assumptions!F28&gt;0),Assumptions!D28*Assumptions!C32,0)+IF(AND(Assumptions!F29&lt;=51,Assumptions!F29&gt;0),Assumptions!D29*Assumptions!C32,0)</f>
        <v>6250</v>
      </c>
      <c r="BF27" s="58">
        <f>IF(AND(Assumptions!F20&lt;=52,Assumptions!F20&gt;0),Assumptions!D20*Assumptions!C32,0)+IF(AND(Assumptions!F21&lt;=52,Assumptions!F21&gt;0),Assumptions!D21*Assumptions!C32,0)+IF(AND(Assumptions!F22&lt;=52,Assumptions!F22&gt;0),Assumptions!D22*Assumptions!C32,0)+IF(AND(Assumptions!F23&lt;=52,Assumptions!F23&gt;0),Assumptions!D23*Assumptions!C32,0)+IF(AND(Assumptions!F24&lt;=52,Assumptions!F24&gt;0),Assumptions!D24*Assumptions!C32,0)+IF(AND(Assumptions!F25&lt;=52,Assumptions!F25&gt;0),Assumptions!D25*Assumptions!C32,0)+IF(AND(Assumptions!F26&lt;=52,Assumptions!F26&gt;0),Assumptions!D26*Assumptions!C32,0)+IF(AND(Assumptions!F27&lt;=52,Assumptions!F27&gt;0),Assumptions!D27*Assumptions!C32,0)+IF(AND(Assumptions!F28&lt;=52,Assumptions!F28&gt;0),Assumptions!D28*Assumptions!C32,0)+IF(AND(Assumptions!F29&lt;=52,Assumptions!F29&gt;0),Assumptions!D29*Assumptions!C32,0)</f>
        <v>6250</v>
      </c>
      <c r="BG27" s="40">
        <f>IF(AND(Assumptions!F20&lt;=53,Assumptions!F20&gt;0),Assumptions!D20*Assumptions!C32,0)+IF(AND(Assumptions!F21&lt;=53,Assumptions!F21&gt;0),Assumptions!D21*Assumptions!C32,0)+IF(AND(Assumptions!F22&lt;=53,Assumptions!F22&gt;0),Assumptions!D22*Assumptions!C32,0)+IF(AND(Assumptions!F23&lt;=53,Assumptions!F23&gt;0),Assumptions!D23*Assumptions!C32,0)+IF(AND(Assumptions!F24&lt;=53,Assumptions!F24&gt;0),Assumptions!D24*Assumptions!C32,0)+IF(AND(Assumptions!F25&lt;=53,Assumptions!F25&gt;0),Assumptions!D25*Assumptions!C32,0)+IF(AND(Assumptions!F26&lt;=53,Assumptions!F26&gt;0),Assumptions!D26*Assumptions!C32,0)+IF(AND(Assumptions!F27&lt;=53,Assumptions!F27&gt;0),Assumptions!D27*Assumptions!C32,0)+IF(AND(Assumptions!F28&lt;=53,Assumptions!F28&gt;0),Assumptions!D28*Assumptions!C32,0)+IF(AND(Assumptions!F29&lt;=53,Assumptions!F29&gt;0),Assumptions!D29*Assumptions!C32,0)</f>
        <v>6250</v>
      </c>
      <c r="BH27" s="58">
        <f>IF(AND(Assumptions!F20&lt;=54,Assumptions!F20&gt;0),Assumptions!D20*Assumptions!C32,0)+IF(AND(Assumptions!F21&lt;=54,Assumptions!F21&gt;0),Assumptions!D21*Assumptions!C32,0)+IF(AND(Assumptions!F22&lt;=54,Assumptions!F22&gt;0),Assumptions!D22*Assumptions!C32,0)+IF(AND(Assumptions!F23&lt;=54,Assumptions!F23&gt;0),Assumptions!D23*Assumptions!C32,0)+IF(AND(Assumptions!F24&lt;=54,Assumptions!F24&gt;0),Assumptions!D24*Assumptions!C32,0)+IF(AND(Assumptions!F25&lt;=54,Assumptions!F25&gt;0),Assumptions!D25*Assumptions!C32,0)+IF(AND(Assumptions!F26&lt;=54,Assumptions!F26&gt;0),Assumptions!D26*Assumptions!C32,0)+IF(AND(Assumptions!F27&lt;=54,Assumptions!F27&gt;0),Assumptions!D27*Assumptions!C32,0)+IF(AND(Assumptions!F28&lt;=54,Assumptions!F28&gt;0),Assumptions!D28*Assumptions!C32,0)+IF(AND(Assumptions!F29&lt;=54,Assumptions!F29&gt;0),Assumptions!D29*Assumptions!C32,0)</f>
        <v>6250</v>
      </c>
      <c r="BI27" s="40">
        <f>IF(AND(Assumptions!F20&lt;=55,Assumptions!F20&gt;0),Assumptions!D20*Assumptions!C32,0)+IF(AND(Assumptions!F21&lt;=55,Assumptions!F21&gt;0),Assumptions!D21*Assumptions!C32,0)+IF(AND(Assumptions!F22&lt;=55,Assumptions!F22&gt;0),Assumptions!D22*Assumptions!C32,0)+IF(AND(Assumptions!F23&lt;=55,Assumptions!F23&gt;0),Assumptions!D23*Assumptions!C32,0)+IF(AND(Assumptions!F24&lt;=55,Assumptions!F24&gt;0),Assumptions!D24*Assumptions!C32,0)+IF(AND(Assumptions!F25&lt;=55,Assumptions!F25&gt;0),Assumptions!D25*Assumptions!C32,0)+IF(AND(Assumptions!F26&lt;=55,Assumptions!F26&gt;0),Assumptions!D26*Assumptions!C32,0)+IF(AND(Assumptions!F27&lt;=55,Assumptions!F27&gt;0),Assumptions!D27*Assumptions!C32,0)+IF(AND(Assumptions!F28&lt;=55,Assumptions!F28&gt;0),Assumptions!D28*Assumptions!C32,0)+IF(AND(Assumptions!F29&lt;=55,Assumptions!F29&gt;0),Assumptions!D29*Assumptions!C32,0)</f>
        <v>6250</v>
      </c>
      <c r="BJ27" s="58">
        <f>IF(AND(Assumptions!F20&lt;=56,Assumptions!F20&gt;0),Assumptions!D20*Assumptions!C32,0)+IF(AND(Assumptions!F21&lt;=56,Assumptions!F21&gt;0),Assumptions!D21*Assumptions!C32,0)+IF(AND(Assumptions!F22&lt;=56,Assumptions!F22&gt;0),Assumptions!D22*Assumptions!C32,0)+IF(AND(Assumptions!F23&lt;=56,Assumptions!F23&gt;0),Assumptions!D23*Assumptions!C32,0)+IF(AND(Assumptions!F24&lt;=56,Assumptions!F24&gt;0),Assumptions!D24*Assumptions!C32,0)+IF(AND(Assumptions!F25&lt;=56,Assumptions!F25&gt;0),Assumptions!D25*Assumptions!C32,0)+IF(AND(Assumptions!F26&lt;=56,Assumptions!F26&gt;0),Assumptions!D26*Assumptions!C32,0)+IF(AND(Assumptions!F27&lt;=56,Assumptions!F27&gt;0),Assumptions!D27*Assumptions!C32,0)+IF(AND(Assumptions!F28&lt;=56,Assumptions!F28&gt;0),Assumptions!D28*Assumptions!C32,0)+IF(AND(Assumptions!F29&lt;=56,Assumptions!F29&gt;0),Assumptions!D29*Assumptions!C32,0)</f>
        <v>6250</v>
      </c>
      <c r="BK27" s="40">
        <f>IF(AND(Assumptions!F20&lt;=57,Assumptions!F20&gt;0),Assumptions!D20*Assumptions!C32,0)+IF(AND(Assumptions!F21&lt;=57,Assumptions!F21&gt;0),Assumptions!D21*Assumptions!C32,0)+IF(AND(Assumptions!F22&lt;=57,Assumptions!F22&gt;0),Assumptions!D22*Assumptions!C32,0)+IF(AND(Assumptions!F23&lt;=57,Assumptions!F23&gt;0),Assumptions!D23*Assumptions!C32,0)+IF(AND(Assumptions!F24&lt;=57,Assumptions!F24&gt;0),Assumptions!D24*Assumptions!C32,0)+IF(AND(Assumptions!F25&lt;=57,Assumptions!F25&gt;0),Assumptions!D25*Assumptions!C32,0)+IF(AND(Assumptions!F26&lt;=57,Assumptions!F26&gt;0),Assumptions!D26*Assumptions!C32,0)+IF(AND(Assumptions!F27&lt;=57,Assumptions!F27&gt;0),Assumptions!D27*Assumptions!C32,0)+IF(AND(Assumptions!F28&lt;=57,Assumptions!F28&gt;0),Assumptions!D28*Assumptions!C32,0)+IF(AND(Assumptions!F29&lt;=57,Assumptions!F29&gt;0),Assumptions!D29*Assumptions!C32,0)</f>
        <v>6250</v>
      </c>
      <c r="BL27" s="58">
        <f>IF(AND(Assumptions!F20&lt;=58,Assumptions!F20&gt;0),Assumptions!D20*Assumptions!C32,0)+IF(AND(Assumptions!F21&lt;=58,Assumptions!F21&gt;0),Assumptions!D21*Assumptions!C32,0)+IF(AND(Assumptions!F22&lt;=58,Assumptions!F22&gt;0),Assumptions!D22*Assumptions!C32,0)+IF(AND(Assumptions!F23&lt;=58,Assumptions!F23&gt;0),Assumptions!D23*Assumptions!C32,0)+IF(AND(Assumptions!F24&lt;=58,Assumptions!F24&gt;0),Assumptions!D24*Assumptions!C32,0)+IF(AND(Assumptions!F25&lt;=58,Assumptions!F25&gt;0),Assumptions!D25*Assumptions!C32,0)+IF(AND(Assumptions!F26&lt;=58,Assumptions!F26&gt;0),Assumptions!D26*Assumptions!C32,0)+IF(AND(Assumptions!F27&lt;=58,Assumptions!F27&gt;0),Assumptions!D27*Assumptions!C32,0)+IF(AND(Assumptions!F28&lt;=58,Assumptions!F28&gt;0),Assumptions!D28*Assumptions!C32,0)+IF(AND(Assumptions!F29&lt;=58,Assumptions!F29&gt;0),Assumptions!D29*Assumptions!C32,0)</f>
        <v>6250</v>
      </c>
      <c r="BM27" s="40">
        <f>IF(AND(Assumptions!F20&lt;=59,Assumptions!F20&gt;0),Assumptions!D20*Assumptions!C32,0)+IF(AND(Assumptions!F21&lt;=59,Assumptions!F21&gt;0),Assumptions!D21*Assumptions!C32,0)+IF(AND(Assumptions!F22&lt;=59,Assumptions!F22&gt;0),Assumptions!D22*Assumptions!C32,0)+IF(AND(Assumptions!F23&lt;=59,Assumptions!F23&gt;0),Assumptions!D23*Assumptions!C32,0)+IF(AND(Assumptions!F24&lt;=59,Assumptions!F24&gt;0),Assumptions!D24*Assumptions!C32,0)+IF(AND(Assumptions!F25&lt;=59,Assumptions!F25&gt;0),Assumptions!D25*Assumptions!C32,0)+IF(AND(Assumptions!F26&lt;=59,Assumptions!F26&gt;0),Assumptions!D26*Assumptions!C32,0)+IF(AND(Assumptions!F27&lt;=59,Assumptions!F27&gt;0),Assumptions!D27*Assumptions!C32,0)+IF(AND(Assumptions!F28&lt;=59,Assumptions!F28&gt;0),Assumptions!D28*Assumptions!C32,0)+IF(AND(Assumptions!F29&lt;=59,Assumptions!F29&gt;0),Assumptions!D29*Assumptions!C32,0)</f>
        <v>6250</v>
      </c>
      <c r="BN27" s="58">
        <f>IF(AND(Assumptions!F20&lt;=60,Assumptions!F20&gt;0),Assumptions!D20*Assumptions!C32,0)+IF(AND(Assumptions!F21&lt;=60,Assumptions!F21&gt;0),Assumptions!D21*Assumptions!C32,0)+IF(AND(Assumptions!F22&lt;=60,Assumptions!F22&gt;0),Assumptions!D22*Assumptions!C32,0)+IF(AND(Assumptions!F23&lt;=60,Assumptions!F23&gt;0),Assumptions!D23*Assumptions!C32,0)+IF(AND(Assumptions!F24&lt;=60,Assumptions!F24&gt;0),Assumptions!D24*Assumptions!C32,0)+IF(AND(Assumptions!F25&lt;=60,Assumptions!F25&gt;0),Assumptions!D25*Assumptions!C32,0)+IF(AND(Assumptions!F26&lt;=60,Assumptions!F26&gt;0),Assumptions!D26*Assumptions!C32,0)+IF(AND(Assumptions!F27&lt;=60,Assumptions!F27&gt;0),Assumptions!D27*Assumptions!C32,0)+IF(AND(Assumptions!F28&lt;=60,Assumptions!F28&gt;0),Assumptions!D28*Assumptions!C32,0)+IF(AND(Assumptions!F29&lt;=60,Assumptions!F29&gt;0),Assumptions!D29*Assumptions!C32,0)</f>
        <v>6250</v>
      </c>
      <c r="BO27" s="59">
        <f t="shared" si="24"/>
        <v>75000</v>
      </c>
    </row>
    <row r="28" spans="2:67" x14ac:dyDescent="0.2">
      <c r="B28" s="70" t="s">
        <v>238</v>
      </c>
      <c r="C28" s="71">
        <f>IF(AND(Assumptions!F20&lt;=1,Assumptions!F20&gt;0),Assumptions!D20*Assumptions!C32,0)</f>
        <v>0</v>
      </c>
      <c r="D28" s="72">
        <f>IF(AND(Assumptions!F20&lt;=2,Assumptions!F20&gt;0),Assumptions!D20*Assumptions!C32,0)</f>
        <v>0</v>
      </c>
      <c r="E28" s="71">
        <f>IF(AND(Assumptions!F20&lt;=3,Assumptions!F20&gt;0),Assumptions!D20*Assumptions!C32,0)</f>
        <v>6250</v>
      </c>
      <c r="F28" s="72">
        <f>IF(AND(Assumptions!F20&lt;=4,Assumptions!F20&gt;0),Assumptions!D20*Assumptions!C32,0)</f>
        <v>6250</v>
      </c>
      <c r="G28" s="71">
        <f>IF(AND(Assumptions!F20&lt;=5,Assumptions!F20&gt;0),Assumptions!D20*Assumptions!C32,0)</f>
        <v>6250</v>
      </c>
      <c r="H28" s="72">
        <f>IF(AND(Assumptions!F20&lt;=6,Assumptions!F20&gt;0),Assumptions!D20*Assumptions!C32,0)</f>
        <v>6250</v>
      </c>
      <c r="I28" s="71">
        <f>IF(AND(Assumptions!F20&lt;=7,Assumptions!F20&gt;0),Assumptions!D20*Assumptions!C32,0)</f>
        <v>6250</v>
      </c>
      <c r="J28" s="72">
        <f>IF(AND(Assumptions!F20&lt;=8,Assumptions!F20&gt;0),Assumptions!D20*Assumptions!C32,0)</f>
        <v>6250</v>
      </c>
      <c r="K28" s="71">
        <f>IF(AND(Assumptions!F20&lt;=9,Assumptions!F20&gt;0),Assumptions!D20*Assumptions!C32,0)</f>
        <v>6250</v>
      </c>
      <c r="L28" s="72">
        <f>IF(AND(Assumptions!F20&lt;=10,Assumptions!F20&gt;0),Assumptions!D20*Assumptions!C32,0)</f>
        <v>6250</v>
      </c>
      <c r="M28" s="71">
        <f>IF(AND(Assumptions!F20&lt;=11,Assumptions!F20&gt;0),Assumptions!D20*Assumptions!C32,0)</f>
        <v>6250</v>
      </c>
      <c r="N28" s="72">
        <f>IF(AND(Assumptions!F20&lt;=12,Assumptions!F20&gt;0),Assumptions!D20*Assumptions!C32,0)</f>
        <v>6250</v>
      </c>
      <c r="O28" s="73">
        <f t="shared" si="20"/>
        <v>62500</v>
      </c>
      <c r="P28" s="71">
        <f>IF(AND(Assumptions!F20&lt;=13,Assumptions!F20&gt;0),Assumptions!D20*Assumptions!C32,0)</f>
        <v>6250</v>
      </c>
      <c r="Q28" s="72">
        <f>IF(AND(Assumptions!F20&lt;=14,Assumptions!F20&gt;0),Assumptions!D20*Assumptions!C32,0)</f>
        <v>6250</v>
      </c>
      <c r="R28" s="71">
        <f>IF(AND(Assumptions!F20&lt;=15,Assumptions!F20&gt;0),Assumptions!D20*Assumptions!C32,0)</f>
        <v>6250</v>
      </c>
      <c r="S28" s="72">
        <f>IF(AND(Assumptions!F20&lt;=16,Assumptions!F20&gt;0),Assumptions!D20*Assumptions!C32,0)</f>
        <v>6250</v>
      </c>
      <c r="T28" s="71">
        <f>IF(AND(Assumptions!F20&lt;=17,Assumptions!F20&gt;0),Assumptions!D20*Assumptions!C32,0)</f>
        <v>6250</v>
      </c>
      <c r="U28" s="72">
        <f>IF(AND(Assumptions!F20&lt;=18,Assumptions!F20&gt;0),Assumptions!D20*Assumptions!C32,0)</f>
        <v>6250</v>
      </c>
      <c r="V28" s="71">
        <f>IF(AND(Assumptions!F20&lt;=19,Assumptions!F20&gt;0),Assumptions!D20*Assumptions!C32,0)</f>
        <v>6250</v>
      </c>
      <c r="W28" s="72">
        <f>IF(AND(Assumptions!F20&lt;=20,Assumptions!F20&gt;0),Assumptions!D20*Assumptions!C32,0)</f>
        <v>6250</v>
      </c>
      <c r="X28" s="71">
        <f>IF(AND(Assumptions!F20&lt;=21,Assumptions!F20&gt;0),Assumptions!D20*Assumptions!C32,0)</f>
        <v>6250</v>
      </c>
      <c r="Y28" s="72">
        <f>IF(AND(Assumptions!F20&lt;=22,Assumptions!F20&gt;0),Assumptions!D20*Assumptions!C32,0)</f>
        <v>6250</v>
      </c>
      <c r="Z28" s="71">
        <f>IF(AND(Assumptions!F20&lt;=23,Assumptions!F20&gt;0),Assumptions!D20*Assumptions!C32,0)</f>
        <v>6250</v>
      </c>
      <c r="AA28" s="72">
        <f>IF(AND(Assumptions!F20&lt;=24,Assumptions!F20&gt;0),Assumptions!D20*Assumptions!C32,0)</f>
        <v>6250</v>
      </c>
      <c r="AB28" s="73">
        <f t="shared" si="21"/>
        <v>75000</v>
      </c>
      <c r="AC28" s="71">
        <f>IF(AND(Assumptions!F20&lt;=25,Assumptions!F20&gt;0),Assumptions!D20*Assumptions!C32,0)</f>
        <v>6250</v>
      </c>
      <c r="AD28" s="72">
        <f>IF(AND(Assumptions!F20&lt;=26,Assumptions!F20&gt;0),Assumptions!D20*Assumptions!C32,0)</f>
        <v>6250</v>
      </c>
      <c r="AE28" s="71">
        <f>IF(AND(Assumptions!F20&lt;=27,Assumptions!F20&gt;0),Assumptions!D20*Assumptions!C32,0)</f>
        <v>6250</v>
      </c>
      <c r="AF28" s="72">
        <f>IF(AND(Assumptions!F20&lt;=28,Assumptions!F20&gt;0),Assumptions!D20*Assumptions!C32,0)</f>
        <v>6250</v>
      </c>
      <c r="AG28" s="71">
        <f>IF(AND(Assumptions!F20&lt;=29,Assumptions!F20&gt;0),Assumptions!D20*Assumptions!C32,0)</f>
        <v>6250</v>
      </c>
      <c r="AH28" s="72">
        <f>IF(AND(Assumptions!F20&lt;=30,Assumptions!F20&gt;0),Assumptions!D20*Assumptions!C32,0)</f>
        <v>6250</v>
      </c>
      <c r="AI28" s="71">
        <f>IF(AND(Assumptions!F20&lt;=31,Assumptions!F20&gt;0),Assumptions!D20*Assumptions!C32,0)</f>
        <v>6250</v>
      </c>
      <c r="AJ28" s="72">
        <f>IF(AND(Assumptions!F20&lt;=32,Assumptions!F20&gt;0),Assumptions!D20*Assumptions!C32,0)</f>
        <v>6250</v>
      </c>
      <c r="AK28" s="71">
        <f>IF(AND(Assumptions!F20&lt;=33,Assumptions!F20&gt;0),Assumptions!D20*Assumptions!C32,0)</f>
        <v>6250</v>
      </c>
      <c r="AL28" s="72">
        <f>IF(AND(Assumptions!F20&lt;=34,Assumptions!F20&gt;0),Assumptions!D20*Assumptions!C32,0)</f>
        <v>6250</v>
      </c>
      <c r="AM28" s="71">
        <f>IF(AND(Assumptions!F20&lt;=35,Assumptions!F20&gt;0),Assumptions!D20*Assumptions!C32,0)</f>
        <v>6250</v>
      </c>
      <c r="AN28" s="72">
        <f>IF(AND(Assumptions!F20&lt;=36,Assumptions!F20&gt;0),Assumptions!D20*Assumptions!C32,0)</f>
        <v>6250</v>
      </c>
      <c r="AO28" s="73">
        <f t="shared" si="22"/>
        <v>75000</v>
      </c>
      <c r="AP28" s="71">
        <f>IF(AND(Assumptions!F20&lt;=37,Assumptions!F20&gt;0),Assumptions!D20*Assumptions!C32,0)</f>
        <v>6250</v>
      </c>
      <c r="AQ28" s="72">
        <f>IF(AND(Assumptions!F20&lt;=38,Assumptions!F20&gt;0),Assumptions!D20*Assumptions!C32,0)</f>
        <v>6250</v>
      </c>
      <c r="AR28" s="71">
        <f>IF(AND(Assumptions!F20&lt;=39,Assumptions!F20&gt;0),Assumptions!D20*Assumptions!C32,0)</f>
        <v>6250</v>
      </c>
      <c r="AS28" s="72">
        <f>IF(AND(Assumptions!F20&lt;=40,Assumptions!F20&gt;0),Assumptions!D20*Assumptions!C32,0)</f>
        <v>6250</v>
      </c>
      <c r="AT28" s="71">
        <f>IF(AND(Assumptions!F20&lt;=41,Assumptions!F20&gt;0),Assumptions!D20*Assumptions!C32,0)</f>
        <v>6250</v>
      </c>
      <c r="AU28" s="72">
        <f>IF(AND(Assumptions!F20&lt;=42,Assumptions!F20&gt;0),Assumptions!D20*Assumptions!C32,0)</f>
        <v>6250</v>
      </c>
      <c r="AV28" s="71">
        <f>IF(AND(Assumptions!F20&lt;=43,Assumptions!F20&gt;0),Assumptions!D20*Assumptions!C32,0)</f>
        <v>6250</v>
      </c>
      <c r="AW28" s="72">
        <f>IF(AND(Assumptions!F20&lt;=44,Assumptions!F20&gt;0),Assumptions!D20*Assumptions!C32,0)</f>
        <v>6250</v>
      </c>
      <c r="AX28" s="71">
        <f>IF(AND(Assumptions!F20&lt;=45,Assumptions!F20&gt;0),Assumptions!D20*Assumptions!C32,0)</f>
        <v>6250</v>
      </c>
      <c r="AY28" s="72">
        <f>IF(AND(Assumptions!F20&lt;=46,Assumptions!F20&gt;0),Assumptions!D20*Assumptions!C32,0)</f>
        <v>6250</v>
      </c>
      <c r="AZ28" s="71">
        <f>IF(AND(Assumptions!F20&lt;=47,Assumptions!F20&gt;0),Assumptions!D20*Assumptions!C32,0)</f>
        <v>6250</v>
      </c>
      <c r="BA28" s="72">
        <f>IF(AND(Assumptions!F20&lt;=48,Assumptions!F20&gt;0),Assumptions!D20*Assumptions!C32,0)</f>
        <v>6250</v>
      </c>
      <c r="BB28" s="73">
        <f t="shared" si="23"/>
        <v>75000</v>
      </c>
      <c r="BC28" s="71">
        <f>IF(AND(Assumptions!F20&lt;=49,Assumptions!F20&gt;0),Assumptions!D20*Assumptions!C32,0)</f>
        <v>6250</v>
      </c>
      <c r="BD28" s="72">
        <f>IF(AND(Assumptions!F20&lt;=50,Assumptions!F20&gt;0),Assumptions!D20*Assumptions!C32,0)</f>
        <v>6250</v>
      </c>
      <c r="BE28" s="71">
        <f>IF(AND(Assumptions!F20&lt;=51,Assumptions!F20&gt;0),Assumptions!D20*Assumptions!C32,0)</f>
        <v>6250</v>
      </c>
      <c r="BF28" s="72">
        <f>IF(AND(Assumptions!F20&lt;=52,Assumptions!F20&gt;0),Assumptions!D20*Assumptions!C32,0)</f>
        <v>6250</v>
      </c>
      <c r="BG28" s="71">
        <f>IF(AND(Assumptions!F20&lt;=53,Assumptions!F20&gt;0),Assumptions!D20*Assumptions!C32,0)</f>
        <v>6250</v>
      </c>
      <c r="BH28" s="72">
        <f>IF(AND(Assumptions!F20&lt;=54,Assumptions!F20&gt;0),Assumptions!D20*Assumptions!C32,0)</f>
        <v>6250</v>
      </c>
      <c r="BI28" s="71">
        <f>IF(AND(Assumptions!F20&lt;=55,Assumptions!F20&gt;0),Assumptions!D20*Assumptions!C32,0)</f>
        <v>6250</v>
      </c>
      <c r="BJ28" s="72">
        <f>IF(AND(Assumptions!F20&lt;=56,Assumptions!F20&gt;0),Assumptions!D20*Assumptions!C32,0)</f>
        <v>6250</v>
      </c>
      <c r="BK28" s="71">
        <f>IF(AND(Assumptions!F20&lt;=57,Assumptions!F20&gt;0),Assumptions!D20*Assumptions!C32,0)</f>
        <v>6250</v>
      </c>
      <c r="BL28" s="72">
        <f>IF(AND(Assumptions!F20&lt;=58,Assumptions!F20&gt;0),Assumptions!D20*Assumptions!C32,0)</f>
        <v>6250</v>
      </c>
      <c r="BM28" s="71">
        <f>IF(AND(Assumptions!F20&lt;=59,Assumptions!F20&gt;0),Assumptions!D20*Assumptions!C32,0)</f>
        <v>6250</v>
      </c>
      <c r="BN28" s="72">
        <f>IF(AND(Assumptions!F20&lt;=60,Assumptions!F20&gt;0),Assumptions!D20*Assumptions!C32,0)</f>
        <v>6250</v>
      </c>
      <c r="BO28" s="73">
        <f t="shared" si="24"/>
        <v>75000</v>
      </c>
    </row>
    <row r="29" spans="2:67" x14ac:dyDescent="0.2">
      <c r="B29" s="51" t="s">
        <v>239</v>
      </c>
      <c r="C29" s="40">
        <f>Assumptions!C81+Assumptions!C82*(IF(AND(Assumptions!F20&lt;=1,Assumptions!F20&gt;0),1,0)+IF(AND(Assumptions!F21&lt;=1,Assumptions!F21&gt;0),1,0)+IF(AND(Assumptions!F22&lt;=1,Assumptions!F22&gt;0),1,0)+IF(AND(Assumptions!F23&lt;=1,Assumptions!F23&gt;0),1,0)+IF(AND(Assumptions!F24&lt;=1,Assumptions!F24&gt;0),1,0)+IF(AND(Assumptions!F25&lt;=1,Assumptions!F25&gt;0),1,0)+IF(AND(Assumptions!F26&lt;=1,Assumptions!F26&gt;0),1,0)+IF(AND(Assumptions!F27&lt;=1,Assumptions!F27&gt;0),1,0)+IF(AND(Assumptions!F28&lt;=1,Assumptions!F28&gt;0),1,0)+IF(AND(Assumptions!F29&lt;=1,Assumptions!F29&gt;0),1,0))</f>
        <v>2000</v>
      </c>
      <c r="D29" s="58">
        <f>Assumptions!C81+Assumptions!C82*(IF(AND(Assumptions!F20&lt;=2,Assumptions!F20&gt;0),1,0)+IF(AND(Assumptions!F21&lt;=2,Assumptions!F21&gt;0),1,0)+IF(AND(Assumptions!F22&lt;=2,Assumptions!F22&gt;0),1,0)+IF(AND(Assumptions!F23&lt;=2,Assumptions!F23&gt;0),1,0)+IF(AND(Assumptions!F24&lt;=2,Assumptions!F24&gt;0),1,0)+IF(AND(Assumptions!F25&lt;=2,Assumptions!F25&gt;0),1,0)+IF(AND(Assumptions!F26&lt;=2,Assumptions!F26&gt;0),1,0)+IF(AND(Assumptions!F27&lt;=2,Assumptions!F27&gt;0),1,0)+IF(AND(Assumptions!F28&lt;=2,Assumptions!F28&gt;0),1,0)+IF(AND(Assumptions!F29&lt;=2,Assumptions!F29&gt;0),1,0))</f>
        <v>2000</v>
      </c>
      <c r="E29" s="40">
        <f>Assumptions!C81+Assumptions!C82*(IF(AND(Assumptions!F20&lt;=3,Assumptions!F20&gt;0),1,0)+IF(AND(Assumptions!F21&lt;=3,Assumptions!F21&gt;0),1,0)+IF(AND(Assumptions!F22&lt;=3,Assumptions!F22&gt;0),1,0)+IF(AND(Assumptions!F23&lt;=3,Assumptions!F23&gt;0),1,0)+IF(AND(Assumptions!F24&lt;=3,Assumptions!F24&gt;0),1,0)+IF(AND(Assumptions!F25&lt;=3,Assumptions!F25&gt;0),1,0)+IF(AND(Assumptions!F26&lt;=3,Assumptions!F26&gt;0),1,0)+IF(AND(Assumptions!F27&lt;=3,Assumptions!F27&gt;0),1,0)+IF(AND(Assumptions!F28&lt;=3,Assumptions!F28&gt;0),1,0)+IF(AND(Assumptions!F29&lt;=3,Assumptions!F29&gt;0),1,0))</f>
        <v>2250</v>
      </c>
      <c r="F29" s="58">
        <f>Assumptions!C81+Assumptions!C82*(IF(AND(Assumptions!F20&lt;=4,Assumptions!F20&gt;0),1,0)+IF(AND(Assumptions!F21&lt;=4,Assumptions!F21&gt;0),1,0)+IF(AND(Assumptions!F22&lt;=4,Assumptions!F22&gt;0),1,0)+IF(AND(Assumptions!F23&lt;=4,Assumptions!F23&gt;0),1,0)+IF(AND(Assumptions!F24&lt;=4,Assumptions!F24&gt;0),1,0)+IF(AND(Assumptions!F25&lt;=4,Assumptions!F25&gt;0),1,0)+IF(AND(Assumptions!F26&lt;=4,Assumptions!F26&gt;0),1,0)+IF(AND(Assumptions!F27&lt;=4,Assumptions!F27&gt;0),1,0)+IF(AND(Assumptions!F28&lt;=4,Assumptions!F28&gt;0),1,0)+IF(AND(Assumptions!F29&lt;=4,Assumptions!F29&gt;0),1,0))</f>
        <v>2250</v>
      </c>
      <c r="G29" s="40">
        <f>Assumptions!C81+Assumptions!C82*(IF(AND(Assumptions!F20&lt;=5,Assumptions!F20&gt;0),1,0)+IF(AND(Assumptions!F21&lt;=5,Assumptions!F21&gt;0),1,0)+IF(AND(Assumptions!F22&lt;=5,Assumptions!F22&gt;0),1,0)+IF(AND(Assumptions!F23&lt;=5,Assumptions!F23&gt;0),1,0)+IF(AND(Assumptions!F24&lt;=5,Assumptions!F24&gt;0),1,0)+IF(AND(Assumptions!F25&lt;=5,Assumptions!F25&gt;0),1,0)+IF(AND(Assumptions!F26&lt;=5,Assumptions!F26&gt;0),1,0)+IF(AND(Assumptions!F27&lt;=5,Assumptions!F27&gt;0),1,0)+IF(AND(Assumptions!F28&lt;=5,Assumptions!F28&gt;0),1,0)+IF(AND(Assumptions!F29&lt;=5,Assumptions!F29&gt;0),1,0))</f>
        <v>2250</v>
      </c>
      <c r="H29" s="58">
        <f>Assumptions!C81+Assumptions!C82*(IF(AND(Assumptions!F20&lt;=6,Assumptions!F20&gt;0),1,0)+IF(AND(Assumptions!F21&lt;=6,Assumptions!F21&gt;0),1,0)+IF(AND(Assumptions!F22&lt;=6,Assumptions!F22&gt;0),1,0)+IF(AND(Assumptions!F23&lt;=6,Assumptions!F23&gt;0),1,0)+IF(AND(Assumptions!F24&lt;=6,Assumptions!F24&gt;0),1,0)+IF(AND(Assumptions!F25&lt;=6,Assumptions!F25&gt;0),1,0)+IF(AND(Assumptions!F26&lt;=6,Assumptions!F26&gt;0),1,0)+IF(AND(Assumptions!F27&lt;=6,Assumptions!F27&gt;0),1,0)+IF(AND(Assumptions!F28&lt;=6,Assumptions!F28&gt;0),1,0)+IF(AND(Assumptions!F29&lt;=6,Assumptions!F29&gt;0),1,0))</f>
        <v>2250</v>
      </c>
      <c r="I29" s="40">
        <f>Assumptions!C81+Assumptions!C82*(IF(AND(Assumptions!F20&lt;=7,Assumptions!F20&gt;0),1,0)+IF(AND(Assumptions!F21&lt;=7,Assumptions!F21&gt;0),1,0)+IF(AND(Assumptions!F22&lt;=7,Assumptions!F22&gt;0),1,0)+IF(AND(Assumptions!F23&lt;=7,Assumptions!F23&gt;0),1,0)+IF(AND(Assumptions!F24&lt;=7,Assumptions!F24&gt;0),1,0)+IF(AND(Assumptions!F25&lt;=7,Assumptions!F25&gt;0),1,0)+IF(AND(Assumptions!F26&lt;=7,Assumptions!F26&gt;0),1,0)+IF(AND(Assumptions!F27&lt;=7,Assumptions!F27&gt;0),1,0)+IF(AND(Assumptions!F28&lt;=7,Assumptions!F28&gt;0),1,0)+IF(AND(Assumptions!F29&lt;=7,Assumptions!F29&gt;0),1,0))</f>
        <v>2250</v>
      </c>
      <c r="J29" s="58">
        <f>Assumptions!C81+Assumptions!C82*(IF(AND(Assumptions!F20&lt;=8,Assumptions!F20&gt;0),1,0)+IF(AND(Assumptions!F21&lt;=8,Assumptions!F21&gt;0),1,0)+IF(AND(Assumptions!F22&lt;=8,Assumptions!F22&gt;0),1,0)+IF(AND(Assumptions!F23&lt;=8,Assumptions!F23&gt;0),1,0)+IF(AND(Assumptions!F24&lt;=8,Assumptions!F24&gt;0),1,0)+IF(AND(Assumptions!F25&lt;=8,Assumptions!F25&gt;0),1,0)+IF(AND(Assumptions!F26&lt;=8,Assumptions!F26&gt;0),1,0)+IF(AND(Assumptions!F27&lt;=8,Assumptions!F27&gt;0),1,0)+IF(AND(Assumptions!F28&lt;=8,Assumptions!F28&gt;0),1,0)+IF(AND(Assumptions!F29&lt;=8,Assumptions!F29&gt;0),1,0))</f>
        <v>2250</v>
      </c>
      <c r="K29" s="40">
        <f>Assumptions!C81+Assumptions!C82*(IF(AND(Assumptions!F20&lt;=9,Assumptions!F20&gt;0),1,0)+IF(AND(Assumptions!F21&lt;=9,Assumptions!F21&gt;0),1,0)+IF(AND(Assumptions!F22&lt;=9,Assumptions!F22&gt;0),1,0)+IF(AND(Assumptions!F23&lt;=9,Assumptions!F23&gt;0),1,0)+IF(AND(Assumptions!F24&lt;=9,Assumptions!F24&gt;0),1,0)+IF(AND(Assumptions!F25&lt;=9,Assumptions!F25&gt;0),1,0)+IF(AND(Assumptions!F26&lt;=9,Assumptions!F26&gt;0),1,0)+IF(AND(Assumptions!F27&lt;=9,Assumptions!F27&gt;0),1,0)+IF(AND(Assumptions!F28&lt;=9,Assumptions!F28&gt;0),1,0)+IF(AND(Assumptions!F29&lt;=9,Assumptions!F29&gt;0),1,0))</f>
        <v>2250</v>
      </c>
      <c r="L29" s="58">
        <f>Assumptions!C81+Assumptions!C82*(IF(AND(Assumptions!F20&lt;=10,Assumptions!F20&gt;0),1,0)+IF(AND(Assumptions!F21&lt;=10,Assumptions!F21&gt;0),1,0)+IF(AND(Assumptions!F22&lt;=10,Assumptions!F22&gt;0),1,0)+IF(AND(Assumptions!F23&lt;=10,Assumptions!F23&gt;0),1,0)+IF(AND(Assumptions!F24&lt;=10,Assumptions!F24&gt;0),1,0)+IF(AND(Assumptions!F25&lt;=10,Assumptions!F25&gt;0),1,0)+IF(AND(Assumptions!F26&lt;=10,Assumptions!F26&gt;0),1,0)+IF(AND(Assumptions!F27&lt;=10,Assumptions!F27&gt;0),1,0)+IF(AND(Assumptions!F28&lt;=10,Assumptions!F28&gt;0),1,0)+IF(AND(Assumptions!F29&lt;=10,Assumptions!F29&gt;0),1,0))</f>
        <v>2250</v>
      </c>
      <c r="M29" s="40">
        <f>Assumptions!C81+Assumptions!C82*(IF(AND(Assumptions!F20&lt;=11,Assumptions!F20&gt;0),1,0)+IF(AND(Assumptions!F21&lt;=11,Assumptions!F21&gt;0),1,0)+IF(AND(Assumptions!F22&lt;=11,Assumptions!F22&gt;0),1,0)+IF(AND(Assumptions!F23&lt;=11,Assumptions!F23&gt;0),1,0)+IF(AND(Assumptions!F24&lt;=11,Assumptions!F24&gt;0),1,0)+IF(AND(Assumptions!F25&lt;=11,Assumptions!F25&gt;0),1,0)+IF(AND(Assumptions!F26&lt;=11,Assumptions!F26&gt;0),1,0)+IF(AND(Assumptions!F27&lt;=11,Assumptions!F27&gt;0),1,0)+IF(AND(Assumptions!F28&lt;=11,Assumptions!F28&gt;0),1,0)+IF(AND(Assumptions!F29&lt;=11,Assumptions!F29&gt;0),1,0))</f>
        <v>2250</v>
      </c>
      <c r="N29" s="58">
        <f>Assumptions!C81+Assumptions!C82*(IF(AND(Assumptions!F20&lt;=12,Assumptions!F20&gt;0),1,0)+IF(AND(Assumptions!F21&lt;=12,Assumptions!F21&gt;0),1,0)+IF(AND(Assumptions!F22&lt;=12,Assumptions!F22&gt;0),1,0)+IF(AND(Assumptions!F23&lt;=12,Assumptions!F23&gt;0),1,0)+IF(AND(Assumptions!F24&lt;=12,Assumptions!F24&gt;0),1,0)+IF(AND(Assumptions!F25&lt;=12,Assumptions!F25&gt;0),1,0)+IF(AND(Assumptions!F26&lt;=12,Assumptions!F26&gt;0),1,0)+IF(AND(Assumptions!F27&lt;=12,Assumptions!F27&gt;0),1,0)+IF(AND(Assumptions!F28&lt;=12,Assumptions!F28&gt;0),1,0)+IF(AND(Assumptions!F29&lt;=12,Assumptions!F29&gt;0),1,0))</f>
        <v>2250</v>
      </c>
      <c r="O29" s="59">
        <f t="shared" si="20"/>
        <v>26500</v>
      </c>
      <c r="P29" s="40">
        <f>Assumptions!C81+Assumptions!C82*(IF(AND(Assumptions!F20&lt;=13,Assumptions!F20&gt;0),1,0)+IF(AND(Assumptions!F21&lt;=13,Assumptions!F21&gt;0),1,0)+IF(AND(Assumptions!F22&lt;=13,Assumptions!F22&gt;0),1,0)+IF(AND(Assumptions!F23&lt;=13,Assumptions!F23&gt;0),1,0)+IF(AND(Assumptions!F24&lt;=13,Assumptions!F24&gt;0),1,0)+IF(AND(Assumptions!F25&lt;=13,Assumptions!F25&gt;0),1,0)+IF(AND(Assumptions!F26&lt;=13,Assumptions!F26&gt;0),1,0)+IF(AND(Assumptions!F27&lt;=13,Assumptions!F27&gt;0),1,0)+IF(AND(Assumptions!F28&lt;=13,Assumptions!F28&gt;0),1,0)+IF(AND(Assumptions!F29&lt;=13,Assumptions!F29&gt;0),1,0))</f>
        <v>2250</v>
      </c>
      <c r="Q29" s="58">
        <f>Assumptions!C81+Assumptions!C82*(IF(AND(Assumptions!F20&lt;=14,Assumptions!F20&gt;0),1,0)+IF(AND(Assumptions!F21&lt;=14,Assumptions!F21&gt;0),1,0)+IF(AND(Assumptions!F22&lt;=14,Assumptions!F22&gt;0),1,0)+IF(AND(Assumptions!F23&lt;=14,Assumptions!F23&gt;0),1,0)+IF(AND(Assumptions!F24&lt;=14,Assumptions!F24&gt;0),1,0)+IF(AND(Assumptions!F25&lt;=14,Assumptions!F25&gt;0),1,0)+IF(AND(Assumptions!F26&lt;=14,Assumptions!F26&gt;0),1,0)+IF(AND(Assumptions!F27&lt;=14,Assumptions!F27&gt;0),1,0)+IF(AND(Assumptions!F28&lt;=14,Assumptions!F28&gt;0),1,0)+IF(AND(Assumptions!F29&lt;=14,Assumptions!F29&gt;0),1,0))</f>
        <v>2250</v>
      </c>
      <c r="R29" s="40">
        <f>Assumptions!C81+Assumptions!C82*(IF(AND(Assumptions!F20&lt;=15,Assumptions!F20&gt;0),1,0)+IF(AND(Assumptions!F21&lt;=15,Assumptions!F21&gt;0),1,0)+IF(AND(Assumptions!F22&lt;=15,Assumptions!F22&gt;0),1,0)+IF(AND(Assumptions!F23&lt;=15,Assumptions!F23&gt;0),1,0)+IF(AND(Assumptions!F24&lt;=15,Assumptions!F24&gt;0),1,0)+IF(AND(Assumptions!F25&lt;=15,Assumptions!F25&gt;0),1,0)+IF(AND(Assumptions!F26&lt;=15,Assumptions!F26&gt;0),1,0)+IF(AND(Assumptions!F27&lt;=15,Assumptions!F27&gt;0),1,0)+IF(AND(Assumptions!F28&lt;=15,Assumptions!F28&gt;0),1,0)+IF(AND(Assumptions!F29&lt;=15,Assumptions!F29&gt;0),1,0))</f>
        <v>2250</v>
      </c>
      <c r="S29" s="58">
        <f>Assumptions!C81+Assumptions!C82*(IF(AND(Assumptions!F20&lt;=16,Assumptions!F20&gt;0),1,0)+IF(AND(Assumptions!F21&lt;=16,Assumptions!F21&gt;0),1,0)+IF(AND(Assumptions!F22&lt;=16,Assumptions!F22&gt;0),1,0)+IF(AND(Assumptions!F23&lt;=16,Assumptions!F23&gt;0),1,0)+IF(AND(Assumptions!F24&lt;=16,Assumptions!F24&gt;0),1,0)+IF(AND(Assumptions!F25&lt;=16,Assumptions!F25&gt;0),1,0)+IF(AND(Assumptions!F26&lt;=16,Assumptions!F26&gt;0),1,0)+IF(AND(Assumptions!F27&lt;=16,Assumptions!F27&gt;0),1,0)+IF(AND(Assumptions!F28&lt;=16,Assumptions!F28&gt;0),1,0)+IF(AND(Assumptions!F29&lt;=16,Assumptions!F29&gt;0),1,0))</f>
        <v>2250</v>
      </c>
      <c r="T29" s="40">
        <f>Assumptions!C81+Assumptions!C82*(IF(AND(Assumptions!F20&lt;=17,Assumptions!F20&gt;0),1,0)+IF(AND(Assumptions!F21&lt;=17,Assumptions!F21&gt;0),1,0)+IF(AND(Assumptions!F22&lt;=17,Assumptions!F22&gt;0),1,0)+IF(AND(Assumptions!F23&lt;=17,Assumptions!F23&gt;0),1,0)+IF(AND(Assumptions!F24&lt;=17,Assumptions!F24&gt;0),1,0)+IF(AND(Assumptions!F25&lt;=17,Assumptions!F25&gt;0),1,0)+IF(AND(Assumptions!F26&lt;=17,Assumptions!F26&gt;0),1,0)+IF(AND(Assumptions!F27&lt;=17,Assumptions!F27&gt;0),1,0)+IF(AND(Assumptions!F28&lt;=17,Assumptions!F28&gt;0),1,0)+IF(AND(Assumptions!F29&lt;=17,Assumptions!F29&gt;0),1,0))</f>
        <v>2250</v>
      </c>
      <c r="U29" s="58">
        <f>Assumptions!C81+Assumptions!C82*(IF(AND(Assumptions!F20&lt;=18,Assumptions!F20&gt;0),1,0)+IF(AND(Assumptions!F21&lt;=18,Assumptions!F21&gt;0),1,0)+IF(AND(Assumptions!F22&lt;=18,Assumptions!F22&gt;0),1,0)+IF(AND(Assumptions!F23&lt;=18,Assumptions!F23&gt;0),1,0)+IF(AND(Assumptions!F24&lt;=18,Assumptions!F24&gt;0),1,0)+IF(AND(Assumptions!F25&lt;=18,Assumptions!F25&gt;0),1,0)+IF(AND(Assumptions!F26&lt;=18,Assumptions!F26&gt;0),1,0)+IF(AND(Assumptions!F27&lt;=18,Assumptions!F27&gt;0),1,0)+IF(AND(Assumptions!F28&lt;=18,Assumptions!F28&gt;0),1,0)+IF(AND(Assumptions!F29&lt;=18,Assumptions!F29&gt;0),1,0))</f>
        <v>2250</v>
      </c>
      <c r="V29" s="40">
        <f>Assumptions!C81+Assumptions!C82*(IF(AND(Assumptions!F20&lt;=19,Assumptions!F20&gt;0),1,0)+IF(AND(Assumptions!F21&lt;=19,Assumptions!F21&gt;0),1,0)+IF(AND(Assumptions!F22&lt;=19,Assumptions!F22&gt;0),1,0)+IF(AND(Assumptions!F23&lt;=19,Assumptions!F23&gt;0),1,0)+IF(AND(Assumptions!F24&lt;=19,Assumptions!F24&gt;0),1,0)+IF(AND(Assumptions!F25&lt;=19,Assumptions!F25&gt;0),1,0)+IF(AND(Assumptions!F26&lt;=19,Assumptions!F26&gt;0),1,0)+IF(AND(Assumptions!F27&lt;=19,Assumptions!F27&gt;0),1,0)+IF(AND(Assumptions!F28&lt;=19,Assumptions!F28&gt;0),1,0)+IF(AND(Assumptions!F29&lt;=19,Assumptions!F29&gt;0),1,0))</f>
        <v>2250</v>
      </c>
      <c r="W29" s="58">
        <f>Assumptions!C81+Assumptions!C82*(IF(AND(Assumptions!F20&lt;=20,Assumptions!F20&gt;0),1,0)+IF(AND(Assumptions!F21&lt;=20,Assumptions!F21&gt;0),1,0)+IF(AND(Assumptions!F22&lt;=20,Assumptions!F22&gt;0),1,0)+IF(AND(Assumptions!F23&lt;=20,Assumptions!F23&gt;0),1,0)+IF(AND(Assumptions!F24&lt;=20,Assumptions!F24&gt;0),1,0)+IF(AND(Assumptions!F25&lt;=20,Assumptions!F25&gt;0),1,0)+IF(AND(Assumptions!F26&lt;=20,Assumptions!F26&gt;0),1,0)+IF(AND(Assumptions!F27&lt;=20,Assumptions!F27&gt;0),1,0)+IF(AND(Assumptions!F28&lt;=20,Assumptions!F28&gt;0),1,0)+IF(AND(Assumptions!F29&lt;=20,Assumptions!F29&gt;0),1,0))</f>
        <v>2250</v>
      </c>
      <c r="X29" s="40">
        <f>Assumptions!C81+Assumptions!C82*(IF(AND(Assumptions!F20&lt;=21,Assumptions!F20&gt;0),1,0)+IF(AND(Assumptions!F21&lt;=21,Assumptions!F21&gt;0),1,0)+IF(AND(Assumptions!F22&lt;=21,Assumptions!F22&gt;0),1,0)+IF(AND(Assumptions!F23&lt;=21,Assumptions!F23&gt;0),1,0)+IF(AND(Assumptions!F24&lt;=21,Assumptions!F24&gt;0),1,0)+IF(AND(Assumptions!F25&lt;=21,Assumptions!F25&gt;0),1,0)+IF(AND(Assumptions!F26&lt;=21,Assumptions!F26&gt;0),1,0)+IF(AND(Assumptions!F27&lt;=21,Assumptions!F27&gt;0),1,0)+IF(AND(Assumptions!F28&lt;=21,Assumptions!F28&gt;0),1,0)+IF(AND(Assumptions!F29&lt;=21,Assumptions!F29&gt;0),1,0))</f>
        <v>2250</v>
      </c>
      <c r="Y29" s="58">
        <f>Assumptions!C81+Assumptions!C82*(IF(AND(Assumptions!F20&lt;=22,Assumptions!F20&gt;0),1,0)+IF(AND(Assumptions!F21&lt;=22,Assumptions!F21&gt;0),1,0)+IF(AND(Assumptions!F22&lt;=22,Assumptions!F22&gt;0),1,0)+IF(AND(Assumptions!F23&lt;=22,Assumptions!F23&gt;0),1,0)+IF(AND(Assumptions!F24&lt;=22,Assumptions!F24&gt;0),1,0)+IF(AND(Assumptions!F25&lt;=22,Assumptions!F25&gt;0),1,0)+IF(AND(Assumptions!F26&lt;=22,Assumptions!F26&gt;0),1,0)+IF(AND(Assumptions!F27&lt;=22,Assumptions!F27&gt;0),1,0)+IF(AND(Assumptions!F28&lt;=22,Assumptions!F28&gt;0),1,0)+IF(AND(Assumptions!F29&lt;=22,Assumptions!F29&gt;0),1,0))</f>
        <v>2250</v>
      </c>
      <c r="Z29" s="40">
        <f>Assumptions!C81+Assumptions!C82*(IF(AND(Assumptions!F20&lt;=23,Assumptions!F20&gt;0),1,0)+IF(AND(Assumptions!F21&lt;=23,Assumptions!F21&gt;0),1,0)+IF(AND(Assumptions!F22&lt;=23,Assumptions!F22&gt;0),1,0)+IF(AND(Assumptions!F23&lt;=23,Assumptions!F23&gt;0),1,0)+IF(AND(Assumptions!F24&lt;=23,Assumptions!F24&gt;0),1,0)+IF(AND(Assumptions!F25&lt;=23,Assumptions!F25&gt;0),1,0)+IF(AND(Assumptions!F26&lt;=23,Assumptions!F26&gt;0),1,0)+IF(AND(Assumptions!F27&lt;=23,Assumptions!F27&gt;0),1,0)+IF(AND(Assumptions!F28&lt;=23,Assumptions!F28&gt;0),1,0)+IF(AND(Assumptions!F29&lt;=23,Assumptions!F29&gt;0),1,0))</f>
        <v>2250</v>
      </c>
      <c r="AA29" s="58">
        <f>Assumptions!C81+Assumptions!C82*(IF(AND(Assumptions!F20&lt;=24,Assumptions!F20&gt;0),1,0)+IF(AND(Assumptions!F21&lt;=24,Assumptions!F21&gt;0),1,0)+IF(AND(Assumptions!F22&lt;=24,Assumptions!F22&gt;0),1,0)+IF(AND(Assumptions!F23&lt;=24,Assumptions!F23&gt;0),1,0)+IF(AND(Assumptions!F24&lt;=24,Assumptions!F24&gt;0),1,0)+IF(AND(Assumptions!F25&lt;=24,Assumptions!F25&gt;0),1,0)+IF(AND(Assumptions!F26&lt;=24,Assumptions!F26&gt;0),1,0)+IF(AND(Assumptions!F27&lt;=24,Assumptions!F27&gt;0),1,0)+IF(AND(Assumptions!F28&lt;=24,Assumptions!F28&gt;0),1,0)+IF(AND(Assumptions!F29&lt;=24,Assumptions!F29&gt;0),1,0))</f>
        <v>2250</v>
      </c>
      <c r="AB29" s="59">
        <f t="shared" si="21"/>
        <v>27000</v>
      </c>
      <c r="AC29" s="40">
        <f>Assumptions!C81+Assumptions!C82*(IF(AND(Assumptions!F20&lt;=25,Assumptions!F20&gt;0),1,0)+IF(AND(Assumptions!F21&lt;=25,Assumptions!F21&gt;0),1,0)+IF(AND(Assumptions!F22&lt;=25,Assumptions!F22&gt;0),1,0)+IF(AND(Assumptions!F23&lt;=25,Assumptions!F23&gt;0),1,0)+IF(AND(Assumptions!F24&lt;=25,Assumptions!F24&gt;0),1,0)+IF(AND(Assumptions!F25&lt;=25,Assumptions!F25&gt;0),1,0)+IF(AND(Assumptions!F26&lt;=25,Assumptions!F26&gt;0),1,0)+IF(AND(Assumptions!F27&lt;=25,Assumptions!F27&gt;0),1,0)+IF(AND(Assumptions!F28&lt;=25,Assumptions!F28&gt;0),1,0)+IF(AND(Assumptions!F29&lt;=25,Assumptions!F29&gt;0),1,0))</f>
        <v>2250</v>
      </c>
      <c r="AD29" s="58">
        <f>Assumptions!C81+Assumptions!C82*(IF(AND(Assumptions!F20&lt;=26,Assumptions!F20&gt;0),1,0)+IF(AND(Assumptions!F21&lt;=26,Assumptions!F21&gt;0),1,0)+IF(AND(Assumptions!F22&lt;=26,Assumptions!F22&gt;0),1,0)+IF(AND(Assumptions!F23&lt;=26,Assumptions!F23&gt;0),1,0)+IF(AND(Assumptions!F24&lt;=26,Assumptions!F24&gt;0),1,0)+IF(AND(Assumptions!F25&lt;=26,Assumptions!F25&gt;0),1,0)+IF(AND(Assumptions!F26&lt;=26,Assumptions!F26&gt;0),1,0)+IF(AND(Assumptions!F27&lt;=26,Assumptions!F27&gt;0),1,0)+IF(AND(Assumptions!F28&lt;=26,Assumptions!F28&gt;0),1,0)+IF(AND(Assumptions!F29&lt;=26,Assumptions!F29&gt;0),1,0))</f>
        <v>2250</v>
      </c>
      <c r="AE29" s="40">
        <f>Assumptions!C81+Assumptions!C82*(IF(AND(Assumptions!F20&lt;=27,Assumptions!F20&gt;0),1,0)+IF(AND(Assumptions!F21&lt;=27,Assumptions!F21&gt;0),1,0)+IF(AND(Assumptions!F22&lt;=27,Assumptions!F22&gt;0),1,0)+IF(AND(Assumptions!F23&lt;=27,Assumptions!F23&gt;0),1,0)+IF(AND(Assumptions!F24&lt;=27,Assumptions!F24&gt;0),1,0)+IF(AND(Assumptions!F25&lt;=27,Assumptions!F25&gt;0),1,0)+IF(AND(Assumptions!F26&lt;=27,Assumptions!F26&gt;0),1,0)+IF(AND(Assumptions!F27&lt;=27,Assumptions!F27&gt;0),1,0)+IF(AND(Assumptions!F28&lt;=27,Assumptions!F28&gt;0),1,0)+IF(AND(Assumptions!F29&lt;=27,Assumptions!F29&gt;0),1,0))</f>
        <v>2250</v>
      </c>
      <c r="AF29" s="58">
        <f>Assumptions!C81+Assumptions!C82*(IF(AND(Assumptions!F20&lt;=28,Assumptions!F20&gt;0),1,0)+IF(AND(Assumptions!F21&lt;=28,Assumptions!F21&gt;0),1,0)+IF(AND(Assumptions!F22&lt;=28,Assumptions!F22&gt;0),1,0)+IF(AND(Assumptions!F23&lt;=28,Assumptions!F23&gt;0),1,0)+IF(AND(Assumptions!F24&lt;=28,Assumptions!F24&gt;0),1,0)+IF(AND(Assumptions!F25&lt;=28,Assumptions!F25&gt;0),1,0)+IF(AND(Assumptions!F26&lt;=28,Assumptions!F26&gt;0),1,0)+IF(AND(Assumptions!F27&lt;=28,Assumptions!F27&gt;0),1,0)+IF(AND(Assumptions!F28&lt;=28,Assumptions!F28&gt;0),1,0)+IF(AND(Assumptions!F29&lt;=28,Assumptions!F29&gt;0),1,0))</f>
        <v>2250</v>
      </c>
      <c r="AG29" s="40">
        <f>Assumptions!C81+Assumptions!C82*(IF(AND(Assumptions!F20&lt;=29,Assumptions!F20&gt;0),1,0)+IF(AND(Assumptions!F21&lt;=29,Assumptions!F21&gt;0),1,0)+IF(AND(Assumptions!F22&lt;=29,Assumptions!F22&gt;0),1,0)+IF(AND(Assumptions!F23&lt;=29,Assumptions!F23&gt;0),1,0)+IF(AND(Assumptions!F24&lt;=29,Assumptions!F24&gt;0),1,0)+IF(AND(Assumptions!F25&lt;=29,Assumptions!F25&gt;0),1,0)+IF(AND(Assumptions!F26&lt;=29,Assumptions!F26&gt;0),1,0)+IF(AND(Assumptions!F27&lt;=29,Assumptions!F27&gt;0),1,0)+IF(AND(Assumptions!F28&lt;=29,Assumptions!F28&gt;0),1,0)+IF(AND(Assumptions!F29&lt;=29,Assumptions!F29&gt;0),1,0))</f>
        <v>2250</v>
      </c>
      <c r="AH29" s="58">
        <f>Assumptions!C81+Assumptions!C82*(IF(AND(Assumptions!F20&lt;=30,Assumptions!F20&gt;0),1,0)+IF(AND(Assumptions!F21&lt;=30,Assumptions!F21&gt;0),1,0)+IF(AND(Assumptions!F22&lt;=30,Assumptions!F22&gt;0),1,0)+IF(AND(Assumptions!F23&lt;=30,Assumptions!F23&gt;0),1,0)+IF(AND(Assumptions!F24&lt;=30,Assumptions!F24&gt;0),1,0)+IF(AND(Assumptions!F25&lt;=30,Assumptions!F25&gt;0),1,0)+IF(AND(Assumptions!F26&lt;=30,Assumptions!F26&gt;0),1,0)+IF(AND(Assumptions!F27&lt;=30,Assumptions!F27&gt;0),1,0)+IF(AND(Assumptions!F28&lt;=30,Assumptions!F28&gt;0),1,0)+IF(AND(Assumptions!F29&lt;=30,Assumptions!F29&gt;0),1,0))</f>
        <v>2250</v>
      </c>
      <c r="AI29" s="40">
        <f>Assumptions!C81+Assumptions!C82*(IF(AND(Assumptions!F20&lt;=31,Assumptions!F20&gt;0),1,0)+IF(AND(Assumptions!F21&lt;=31,Assumptions!F21&gt;0),1,0)+IF(AND(Assumptions!F22&lt;=31,Assumptions!F22&gt;0),1,0)+IF(AND(Assumptions!F23&lt;=31,Assumptions!F23&gt;0),1,0)+IF(AND(Assumptions!F24&lt;=31,Assumptions!F24&gt;0),1,0)+IF(AND(Assumptions!F25&lt;=31,Assumptions!F25&gt;0),1,0)+IF(AND(Assumptions!F26&lt;=31,Assumptions!F26&gt;0),1,0)+IF(AND(Assumptions!F27&lt;=31,Assumptions!F27&gt;0),1,0)+IF(AND(Assumptions!F28&lt;=31,Assumptions!F28&gt;0),1,0)+IF(AND(Assumptions!F29&lt;=31,Assumptions!F29&gt;0),1,0))</f>
        <v>2250</v>
      </c>
      <c r="AJ29" s="58">
        <f>Assumptions!C81+Assumptions!C82*(IF(AND(Assumptions!F20&lt;=32,Assumptions!F20&gt;0),1,0)+IF(AND(Assumptions!F21&lt;=32,Assumptions!F21&gt;0),1,0)+IF(AND(Assumptions!F22&lt;=32,Assumptions!F22&gt;0),1,0)+IF(AND(Assumptions!F23&lt;=32,Assumptions!F23&gt;0),1,0)+IF(AND(Assumptions!F24&lt;=32,Assumptions!F24&gt;0),1,0)+IF(AND(Assumptions!F25&lt;=32,Assumptions!F25&gt;0),1,0)+IF(AND(Assumptions!F26&lt;=32,Assumptions!F26&gt;0),1,0)+IF(AND(Assumptions!F27&lt;=32,Assumptions!F27&gt;0),1,0)+IF(AND(Assumptions!F28&lt;=32,Assumptions!F28&gt;0),1,0)+IF(AND(Assumptions!F29&lt;=32,Assumptions!F29&gt;0),1,0))</f>
        <v>2250</v>
      </c>
      <c r="AK29" s="40">
        <f>Assumptions!C81+Assumptions!C82*(IF(AND(Assumptions!F20&lt;=33,Assumptions!F20&gt;0),1,0)+IF(AND(Assumptions!F21&lt;=33,Assumptions!F21&gt;0),1,0)+IF(AND(Assumptions!F22&lt;=33,Assumptions!F22&gt;0),1,0)+IF(AND(Assumptions!F23&lt;=33,Assumptions!F23&gt;0),1,0)+IF(AND(Assumptions!F24&lt;=33,Assumptions!F24&gt;0),1,0)+IF(AND(Assumptions!F25&lt;=33,Assumptions!F25&gt;0),1,0)+IF(AND(Assumptions!F26&lt;=33,Assumptions!F26&gt;0),1,0)+IF(AND(Assumptions!F27&lt;=33,Assumptions!F27&gt;0),1,0)+IF(AND(Assumptions!F28&lt;=33,Assumptions!F28&gt;0),1,0)+IF(AND(Assumptions!F29&lt;=33,Assumptions!F29&gt;0),1,0))</f>
        <v>2250</v>
      </c>
      <c r="AL29" s="58">
        <f>Assumptions!C81+Assumptions!C82*(IF(AND(Assumptions!F20&lt;=34,Assumptions!F20&gt;0),1,0)+IF(AND(Assumptions!F21&lt;=34,Assumptions!F21&gt;0),1,0)+IF(AND(Assumptions!F22&lt;=34,Assumptions!F22&gt;0),1,0)+IF(AND(Assumptions!F23&lt;=34,Assumptions!F23&gt;0),1,0)+IF(AND(Assumptions!F24&lt;=34,Assumptions!F24&gt;0),1,0)+IF(AND(Assumptions!F25&lt;=34,Assumptions!F25&gt;0),1,0)+IF(AND(Assumptions!F26&lt;=34,Assumptions!F26&gt;0),1,0)+IF(AND(Assumptions!F27&lt;=34,Assumptions!F27&gt;0),1,0)+IF(AND(Assumptions!F28&lt;=34,Assumptions!F28&gt;0),1,0)+IF(AND(Assumptions!F29&lt;=34,Assumptions!F29&gt;0),1,0))</f>
        <v>2250</v>
      </c>
      <c r="AM29" s="40">
        <f>Assumptions!C81+Assumptions!C82*(IF(AND(Assumptions!F20&lt;=35,Assumptions!F20&gt;0),1,0)+IF(AND(Assumptions!F21&lt;=35,Assumptions!F21&gt;0),1,0)+IF(AND(Assumptions!F22&lt;=35,Assumptions!F22&gt;0),1,0)+IF(AND(Assumptions!F23&lt;=35,Assumptions!F23&gt;0),1,0)+IF(AND(Assumptions!F24&lt;=35,Assumptions!F24&gt;0),1,0)+IF(AND(Assumptions!F25&lt;=35,Assumptions!F25&gt;0),1,0)+IF(AND(Assumptions!F26&lt;=35,Assumptions!F26&gt;0),1,0)+IF(AND(Assumptions!F27&lt;=35,Assumptions!F27&gt;0),1,0)+IF(AND(Assumptions!F28&lt;=35,Assumptions!F28&gt;0),1,0)+IF(AND(Assumptions!F29&lt;=35,Assumptions!F29&gt;0),1,0))</f>
        <v>2250</v>
      </c>
      <c r="AN29" s="58">
        <f>Assumptions!C81+Assumptions!C82*(IF(AND(Assumptions!F20&lt;=36,Assumptions!F20&gt;0),1,0)+IF(AND(Assumptions!F21&lt;=36,Assumptions!F21&gt;0),1,0)+IF(AND(Assumptions!F22&lt;=36,Assumptions!F22&gt;0),1,0)+IF(AND(Assumptions!F23&lt;=36,Assumptions!F23&gt;0),1,0)+IF(AND(Assumptions!F24&lt;=36,Assumptions!F24&gt;0),1,0)+IF(AND(Assumptions!F25&lt;=36,Assumptions!F25&gt;0),1,0)+IF(AND(Assumptions!F26&lt;=36,Assumptions!F26&gt;0),1,0)+IF(AND(Assumptions!F27&lt;=36,Assumptions!F27&gt;0),1,0)+IF(AND(Assumptions!F28&lt;=36,Assumptions!F28&gt;0),1,0)+IF(AND(Assumptions!F29&lt;=36,Assumptions!F29&gt;0),1,0))</f>
        <v>2250</v>
      </c>
      <c r="AO29" s="59">
        <f t="shared" si="22"/>
        <v>27000</v>
      </c>
      <c r="AP29" s="40">
        <f>Assumptions!C81+Assumptions!C82*(IF(AND(Assumptions!F20&lt;=37,Assumptions!F20&gt;0),1,0)+IF(AND(Assumptions!F21&lt;=37,Assumptions!F21&gt;0),1,0)+IF(AND(Assumptions!F22&lt;=37,Assumptions!F22&gt;0),1,0)+IF(AND(Assumptions!F23&lt;=37,Assumptions!F23&gt;0),1,0)+IF(AND(Assumptions!F24&lt;=37,Assumptions!F24&gt;0),1,0)+IF(AND(Assumptions!F25&lt;=37,Assumptions!F25&gt;0),1,0)+IF(AND(Assumptions!F26&lt;=37,Assumptions!F26&gt;0),1,0)+IF(AND(Assumptions!F27&lt;=37,Assumptions!F27&gt;0),1,0)+IF(AND(Assumptions!F28&lt;=37,Assumptions!F28&gt;0),1,0)+IF(AND(Assumptions!F29&lt;=37,Assumptions!F29&gt;0),1,0))</f>
        <v>2250</v>
      </c>
      <c r="AQ29" s="58">
        <f>Assumptions!C81+Assumptions!C82*(IF(AND(Assumptions!F20&lt;=38,Assumptions!F20&gt;0),1,0)+IF(AND(Assumptions!F21&lt;=38,Assumptions!F21&gt;0),1,0)+IF(AND(Assumptions!F22&lt;=38,Assumptions!F22&gt;0),1,0)+IF(AND(Assumptions!F23&lt;=38,Assumptions!F23&gt;0),1,0)+IF(AND(Assumptions!F24&lt;=38,Assumptions!F24&gt;0),1,0)+IF(AND(Assumptions!F25&lt;=38,Assumptions!F25&gt;0),1,0)+IF(AND(Assumptions!F26&lt;=38,Assumptions!F26&gt;0),1,0)+IF(AND(Assumptions!F27&lt;=38,Assumptions!F27&gt;0),1,0)+IF(AND(Assumptions!F28&lt;=38,Assumptions!F28&gt;0),1,0)+IF(AND(Assumptions!F29&lt;=38,Assumptions!F29&gt;0),1,0))</f>
        <v>2250</v>
      </c>
      <c r="AR29" s="40">
        <f>Assumptions!C81+Assumptions!C82*(IF(AND(Assumptions!F20&lt;=39,Assumptions!F20&gt;0),1,0)+IF(AND(Assumptions!F21&lt;=39,Assumptions!F21&gt;0),1,0)+IF(AND(Assumptions!F22&lt;=39,Assumptions!F22&gt;0),1,0)+IF(AND(Assumptions!F23&lt;=39,Assumptions!F23&gt;0),1,0)+IF(AND(Assumptions!F24&lt;=39,Assumptions!F24&gt;0),1,0)+IF(AND(Assumptions!F25&lt;=39,Assumptions!F25&gt;0),1,0)+IF(AND(Assumptions!F26&lt;=39,Assumptions!F26&gt;0),1,0)+IF(AND(Assumptions!F27&lt;=39,Assumptions!F27&gt;0),1,0)+IF(AND(Assumptions!F28&lt;=39,Assumptions!F28&gt;0),1,0)+IF(AND(Assumptions!F29&lt;=39,Assumptions!F29&gt;0),1,0))</f>
        <v>2250</v>
      </c>
      <c r="AS29" s="58">
        <f>Assumptions!C81+Assumptions!C82*(IF(AND(Assumptions!F20&lt;=40,Assumptions!F20&gt;0),1,0)+IF(AND(Assumptions!F21&lt;=40,Assumptions!F21&gt;0),1,0)+IF(AND(Assumptions!F22&lt;=40,Assumptions!F22&gt;0),1,0)+IF(AND(Assumptions!F23&lt;=40,Assumptions!F23&gt;0),1,0)+IF(AND(Assumptions!F24&lt;=40,Assumptions!F24&gt;0),1,0)+IF(AND(Assumptions!F25&lt;=40,Assumptions!F25&gt;0),1,0)+IF(AND(Assumptions!F26&lt;=40,Assumptions!F26&gt;0),1,0)+IF(AND(Assumptions!F27&lt;=40,Assumptions!F27&gt;0),1,0)+IF(AND(Assumptions!F28&lt;=40,Assumptions!F28&gt;0),1,0)+IF(AND(Assumptions!F29&lt;=40,Assumptions!F29&gt;0),1,0))</f>
        <v>2250</v>
      </c>
      <c r="AT29" s="40">
        <f>Assumptions!C81+Assumptions!C82*(IF(AND(Assumptions!F20&lt;=41,Assumptions!F20&gt;0),1,0)+IF(AND(Assumptions!F21&lt;=41,Assumptions!F21&gt;0),1,0)+IF(AND(Assumptions!F22&lt;=41,Assumptions!F22&gt;0),1,0)+IF(AND(Assumptions!F23&lt;=41,Assumptions!F23&gt;0),1,0)+IF(AND(Assumptions!F24&lt;=41,Assumptions!F24&gt;0),1,0)+IF(AND(Assumptions!F25&lt;=41,Assumptions!F25&gt;0),1,0)+IF(AND(Assumptions!F26&lt;=41,Assumptions!F26&gt;0),1,0)+IF(AND(Assumptions!F27&lt;=41,Assumptions!F27&gt;0),1,0)+IF(AND(Assumptions!F28&lt;=41,Assumptions!F28&gt;0),1,0)+IF(AND(Assumptions!F29&lt;=41,Assumptions!F29&gt;0),1,0))</f>
        <v>2250</v>
      </c>
      <c r="AU29" s="58">
        <f>Assumptions!C81+Assumptions!C82*(IF(AND(Assumptions!F20&lt;=42,Assumptions!F20&gt;0),1,0)+IF(AND(Assumptions!F21&lt;=42,Assumptions!F21&gt;0),1,0)+IF(AND(Assumptions!F22&lt;=42,Assumptions!F22&gt;0),1,0)+IF(AND(Assumptions!F23&lt;=42,Assumptions!F23&gt;0),1,0)+IF(AND(Assumptions!F24&lt;=42,Assumptions!F24&gt;0),1,0)+IF(AND(Assumptions!F25&lt;=42,Assumptions!F25&gt;0),1,0)+IF(AND(Assumptions!F26&lt;=42,Assumptions!F26&gt;0),1,0)+IF(AND(Assumptions!F27&lt;=42,Assumptions!F27&gt;0),1,0)+IF(AND(Assumptions!F28&lt;=42,Assumptions!F28&gt;0),1,0)+IF(AND(Assumptions!F29&lt;=42,Assumptions!F29&gt;0),1,0))</f>
        <v>2250</v>
      </c>
      <c r="AV29" s="40">
        <f>Assumptions!C81+Assumptions!C82*(IF(AND(Assumptions!F20&lt;=43,Assumptions!F20&gt;0),1,0)+IF(AND(Assumptions!F21&lt;=43,Assumptions!F21&gt;0),1,0)+IF(AND(Assumptions!F22&lt;=43,Assumptions!F22&gt;0),1,0)+IF(AND(Assumptions!F23&lt;=43,Assumptions!F23&gt;0),1,0)+IF(AND(Assumptions!F24&lt;=43,Assumptions!F24&gt;0),1,0)+IF(AND(Assumptions!F25&lt;=43,Assumptions!F25&gt;0),1,0)+IF(AND(Assumptions!F26&lt;=43,Assumptions!F26&gt;0),1,0)+IF(AND(Assumptions!F27&lt;=43,Assumptions!F27&gt;0),1,0)+IF(AND(Assumptions!F28&lt;=43,Assumptions!F28&gt;0),1,0)+IF(AND(Assumptions!F29&lt;=43,Assumptions!F29&gt;0),1,0))</f>
        <v>2250</v>
      </c>
      <c r="AW29" s="58">
        <f>Assumptions!C81+Assumptions!C82*(IF(AND(Assumptions!F20&lt;=44,Assumptions!F20&gt;0),1,0)+IF(AND(Assumptions!F21&lt;=44,Assumptions!F21&gt;0),1,0)+IF(AND(Assumptions!F22&lt;=44,Assumptions!F22&gt;0),1,0)+IF(AND(Assumptions!F23&lt;=44,Assumptions!F23&gt;0),1,0)+IF(AND(Assumptions!F24&lt;=44,Assumptions!F24&gt;0),1,0)+IF(AND(Assumptions!F25&lt;=44,Assumptions!F25&gt;0),1,0)+IF(AND(Assumptions!F26&lt;=44,Assumptions!F26&gt;0),1,0)+IF(AND(Assumptions!F27&lt;=44,Assumptions!F27&gt;0),1,0)+IF(AND(Assumptions!F28&lt;=44,Assumptions!F28&gt;0),1,0)+IF(AND(Assumptions!F29&lt;=44,Assumptions!F29&gt;0),1,0))</f>
        <v>2250</v>
      </c>
      <c r="AX29" s="40">
        <f>Assumptions!C81+Assumptions!C82*(IF(AND(Assumptions!F20&lt;=45,Assumptions!F20&gt;0),1,0)+IF(AND(Assumptions!F21&lt;=45,Assumptions!F21&gt;0),1,0)+IF(AND(Assumptions!F22&lt;=45,Assumptions!F22&gt;0),1,0)+IF(AND(Assumptions!F23&lt;=45,Assumptions!F23&gt;0),1,0)+IF(AND(Assumptions!F24&lt;=45,Assumptions!F24&gt;0),1,0)+IF(AND(Assumptions!F25&lt;=45,Assumptions!F25&gt;0),1,0)+IF(AND(Assumptions!F26&lt;=45,Assumptions!F26&gt;0),1,0)+IF(AND(Assumptions!F27&lt;=45,Assumptions!F27&gt;0),1,0)+IF(AND(Assumptions!F28&lt;=45,Assumptions!F28&gt;0),1,0)+IF(AND(Assumptions!F29&lt;=45,Assumptions!F29&gt;0),1,0))</f>
        <v>2250</v>
      </c>
      <c r="AY29" s="58">
        <f>Assumptions!C81+Assumptions!C82*(IF(AND(Assumptions!F20&lt;=46,Assumptions!F20&gt;0),1,0)+IF(AND(Assumptions!F21&lt;=46,Assumptions!F21&gt;0),1,0)+IF(AND(Assumptions!F22&lt;=46,Assumptions!F22&gt;0),1,0)+IF(AND(Assumptions!F23&lt;=46,Assumptions!F23&gt;0),1,0)+IF(AND(Assumptions!F24&lt;=46,Assumptions!F24&gt;0),1,0)+IF(AND(Assumptions!F25&lt;=46,Assumptions!F25&gt;0),1,0)+IF(AND(Assumptions!F26&lt;=46,Assumptions!F26&gt;0),1,0)+IF(AND(Assumptions!F27&lt;=46,Assumptions!F27&gt;0),1,0)+IF(AND(Assumptions!F28&lt;=46,Assumptions!F28&gt;0),1,0)+IF(AND(Assumptions!F29&lt;=46,Assumptions!F29&gt;0),1,0))</f>
        <v>2250</v>
      </c>
      <c r="AZ29" s="40">
        <f>Assumptions!C81+Assumptions!C82*(IF(AND(Assumptions!F20&lt;=47,Assumptions!F20&gt;0),1,0)+IF(AND(Assumptions!F21&lt;=47,Assumptions!F21&gt;0),1,0)+IF(AND(Assumptions!F22&lt;=47,Assumptions!F22&gt;0),1,0)+IF(AND(Assumptions!F23&lt;=47,Assumptions!F23&gt;0),1,0)+IF(AND(Assumptions!F24&lt;=47,Assumptions!F24&gt;0),1,0)+IF(AND(Assumptions!F25&lt;=47,Assumptions!F25&gt;0),1,0)+IF(AND(Assumptions!F26&lt;=47,Assumptions!F26&gt;0),1,0)+IF(AND(Assumptions!F27&lt;=47,Assumptions!F27&gt;0),1,0)+IF(AND(Assumptions!F28&lt;=47,Assumptions!F28&gt;0),1,0)+IF(AND(Assumptions!F29&lt;=47,Assumptions!F29&gt;0),1,0))</f>
        <v>2250</v>
      </c>
      <c r="BA29" s="58">
        <f>Assumptions!C81+Assumptions!C82*(IF(AND(Assumptions!F20&lt;=48,Assumptions!F20&gt;0),1,0)+IF(AND(Assumptions!F21&lt;=48,Assumptions!F21&gt;0),1,0)+IF(AND(Assumptions!F22&lt;=48,Assumptions!F22&gt;0),1,0)+IF(AND(Assumptions!F23&lt;=48,Assumptions!F23&gt;0),1,0)+IF(AND(Assumptions!F24&lt;=48,Assumptions!F24&gt;0),1,0)+IF(AND(Assumptions!F25&lt;=48,Assumptions!F25&gt;0),1,0)+IF(AND(Assumptions!F26&lt;=48,Assumptions!F26&gt;0),1,0)+IF(AND(Assumptions!F27&lt;=48,Assumptions!F27&gt;0),1,0)+IF(AND(Assumptions!F28&lt;=48,Assumptions!F28&gt;0),1,0)+IF(AND(Assumptions!F29&lt;=48,Assumptions!F29&gt;0),1,0))</f>
        <v>2250</v>
      </c>
      <c r="BB29" s="59">
        <f t="shared" si="23"/>
        <v>27000</v>
      </c>
      <c r="BC29" s="40">
        <f>Assumptions!C81+Assumptions!C82*(IF(AND(Assumptions!F20&lt;=49,Assumptions!F20&gt;0),1,0)+IF(AND(Assumptions!F21&lt;=49,Assumptions!F21&gt;0),1,0)+IF(AND(Assumptions!F22&lt;=49,Assumptions!F22&gt;0),1,0)+IF(AND(Assumptions!F23&lt;=49,Assumptions!F23&gt;0),1,0)+IF(AND(Assumptions!F24&lt;=49,Assumptions!F24&gt;0),1,0)+IF(AND(Assumptions!F25&lt;=49,Assumptions!F25&gt;0),1,0)+IF(AND(Assumptions!F26&lt;=49,Assumptions!F26&gt;0),1,0)+IF(AND(Assumptions!F27&lt;=49,Assumptions!F27&gt;0),1,0)+IF(AND(Assumptions!F28&lt;=49,Assumptions!F28&gt;0),1,0)+IF(AND(Assumptions!F29&lt;=49,Assumptions!F29&gt;0),1,0))</f>
        <v>2250</v>
      </c>
      <c r="BD29" s="58">
        <f>Assumptions!C81+Assumptions!C82*(IF(AND(Assumptions!F20&lt;=50,Assumptions!F20&gt;0),1,0)+IF(AND(Assumptions!F21&lt;=50,Assumptions!F21&gt;0),1,0)+IF(AND(Assumptions!F22&lt;=50,Assumptions!F22&gt;0),1,0)+IF(AND(Assumptions!F23&lt;=50,Assumptions!F23&gt;0),1,0)+IF(AND(Assumptions!F24&lt;=50,Assumptions!F24&gt;0),1,0)+IF(AND(Assumptions!F25&lt;=50,Assumptions!F25&gt;0),1,0)+IF(AND(Assumptions!F26&lt;=50,Assumptions!F26&gt;0),1,0)+IF(AND(Assumptions!F27&lt;=50,Assumptions!F27&gt;0),1,0)+IF(AND(Assumptions!F28&lt;=50,Assumptions!F28&gt;0),1,0)+IF(AND(Assumptions!F29&lt;=50,Assumptions!F29&gt;0),1,0))</f>
        <v>2250</v>
      </c>
      <c r="BE29" s="40">
        <f>Assumptions!C81+Assumptions!C82*(IF(AND(Assumptions!F20&lt;=51,Assumptions!F20&gt;0),1,0)+IF(AND(Assumptions!F21&lt;=51,Assumptions!F21&gt;0),1,0)+IF(AND(Assumptions!F22&lt;=51,Assumptions!F22&gt;0),1,0)+IF(AND(Assumptions!F23&lt;=51,Assumptions!F23&gt;0),1,0)+IF(AND(Assumptions!F24&lt;=51,Assumptions!F24&gt;0),1,0)+IF(AND(Assumptions!F25&lt;=51,Assumptions!F25&gt;0),1,0)+IF(AND(Assumptions!F26&lt;=51,Assumptions!F26&gt;0),1,0)+IF(AND(Assumptions!F27&lt;=51,Assumptions!F27&gt;0),1,0)+IF(AND(Assumptions!F28&lt;=51,Assumptions!F28&gt;0),1,0)+IF(AND(Assumptions!F29&lt;=51,Assumptions!F29&gt;0),1,0))</f>
        <v>2250</v>
      </c>
      <c r="BF29" s="58">
        <f>Assumptions!C81+Assumptions!C82*(IF(AND(Assumptions!F20&lt;=52,Assumptions!F20&gt;0),1,0)+IF(AND(Assumptions!F21&lt;=52,Assumptions!F21&gt;0),1,0)+IF(AND(Assumptions!F22&lt;=52,Assumptions!F22&gt;0),1,0)+IF(AND(Assumptions!F23&lt;=52,Assumptions!F23&gt;0),1,0)+IF(AND(Assumptions!F24&lt;=52,Assumptions!F24&gt;0),1,0)+IF(AND(Assumptions!F25&lt;=52,Assumptions!F25&gt;0),1,0)+IF(AND(Assumptions!F26&lt;=52,Assumptions!F26&gt;0),1,0)+IF(AND(Assumptions!F27&lt;=52,Assumptions!F27&gt;0),1,0)+IF(AND(Assumptions!F28&lt;=52,Assumptions!F28&gt;0),1,0)+IF(AND(Assumptions!F29&lt;=52,Assumptions!F29&gt;0),1,0))</f>
        <v>2250</v>
      </c>
      <c r="BG29" s="40">
        <f>Assumptions!C81+Assumptions!C82*(IF(AND(Assumptions!F20&lt;=53,Assumptions!F20&gt;0),1,0)+IF(AND(Assumptions!F21&lt;=53,Assumptions!F21&gt;0),1,0)+IF(AND(Assumptions!F22&lt;=53,Assumptions!F22&gt;0),1,0)+IF(AND(Assumptions!F23&lt;=53,Assumptions!F23&gt;0),1,0)+IF(AND(Assumptions!F24&lt;=53,Assumptions!F24&gt;0),1,0)+IF(AND(Assumptions!F25&lt;=53,Assumptions!F25&gt;0),1,0)+IF(AND(Assumptions!F26&lt;=53,Assumptions!F26&gt;0),1,0)+IF(AND(Assumptions!F27&lt;=53,Assumptions!F27&gt;0),1,0)+IF(AND(Assumptions!F28&lt;=53,Assumptions!F28&gt;0),1,0)+IF(AND(Assumptions!F29&lt;=53,Assumptions!F29&gt;0),1,0))</f>
        <v>2250</v>
      </c>
      <c r="BH29" s="58">
        <f>Assumptions!C81+Assumptions!C82*(IF(AND(Assumptions!F20&lt;=54,Assumptions!F20&gt;0),1,0)+IF(AND(Assumptions!F21&lt;=54,Assumptions!F21&gt;0),1,0)+IF(AND(Assumptions!F22&lt;=54,Assumptions!F22&gt;0),1,0)+IF(AND(Assumptions!F23&lt;=54,Assumptions!F23&gt;0),1,0)+IF(AND(Assumptions!F24&lt;=54,Assumptions!F24&gt;0),1,0)+IF(AND(Assumptions!F25&lt;=54,Assumptions!F25&gt;0),1,0)+IF(AND(Assumptions!F26&lt;=54,Assumptions!F26&gt;0),1,0)+IF(AND(Assumptions!F27&lt;=54,Assumptions!F27&gt;0),1,0)+IF(AND(Assumptions!F28&lt;=54,Assumptions!F28&gt;0),1,0)+IF(AND(Assumptions!F29&lt;=54,Assumptions!F29&gt;0),1,0))</f>
        <v>2250</v>
      </c>
      <c r="BI29" s="40">
        <f>Assumptions!C81+Assumptions!C82*(IF(AND(Assumptions!F20&lt;=55,Assumptions!F20&gt;0),1,0)+IF(AND(Assumptions!F21&lt;=55,Assumptions!F21&gt;0),1,0)+IF(AND(Assumptions!F22&lt;=55,Assumptions!F22&gt;0),1,0)+IF(AND(Assumptions!F23&lt;=55,Assumptions!F23&gt;0),1,0)+IF(AND(Assumptions!F24&lt;=55,Assumptions!F24&gt;0),1,0)+IF(AND(Assumptions!F25&lt;=55,Assumptions!F25&gt;0),1,0)+IF(AND(Assumptions!F26&lt;=55,Assumptions!F26&gt;0),1,0)+IF(AND(Assumptions!F27&lt;=55,Assumptions!F27&gt;0),1,0)+IF(AND(Assumptions!F28&lt;=55,Assumptions!F28&gt;0),1,0)+IF(AND(Assumptions!F29&lt;=55,Assumptions!F29&gt;0),1,0))</f>
        <v>2250</v>
      </c>
      <c r="BJ29" s="58">
        <f>Assumptions!C81+Assumptions!C82*(IF(AND(Assumptions!F20&lt;=56,Assumptions!F20&gt;0),1,0)+IF(AND(Assumptions!F21&lt;=56,Assumptions!F21&gt;0),1,0)+IF(AND(Assumptions!F22&lt;=56,Assumptions!F22&gt;0),1,0)+IF(AND(Assumptions!F23&lt;=56,Assumptions!F23&gt;0),1,0)+IF(AND(Assumptions!F24&lt;=56,Assumptions!F24&gt;0),1,0)+IF(AND(Assumptions!F25&lt;=56,Assumptions!F25&gt;0),1,0)+IF(AND(Assumptions!F26&lt;=56,Assumptions!F26&gt;0),1,0)+IF(AND(Assumptions!F27&lt;=56,Assumptions!F27&gt;0),1,0)+IF(AND(Assumptions!F28&lt;=56,Assumptions!F28&gt;0),1,0)+IF(AND(Assumptions!F29&lt;=56,Assumptions!F29&gt;0),1,0))</f>
        <v>2250</v>
      </c>
      <c r="BK29" s="40">
        <f>Assumptions!C81+Assumptions!C82*(IF(AND(Assumptions!F20&lt;=57,Assumptions!F20&gt;0),1,0)+IF(AND(Assumptions!F21&lt;=57,Assumptions!F21&gt;0),1,0)+IF(AND(Assumptions!F22&lt;=57,Assumptions!F22&gt;0),1,0)+IF(AND(Assumptions!F23&lt;=57,Assumptions!F23&gt;0),1,0)+IF(AND(Assumptions!F24&lt;=57,Assumptions!F24&gt;0),1,0)+IF(AND(Assumptions!F25&lt;=57,Assumptions!F25&gt;0),1,0)+IF(AND(Assumptions!F26&lt;=57,Assumptions!F26&gt;0),1,0)+IF(AND(Assumptions!F27&lt;=57,Assumptions!F27&gt;0),1,0)+IF(AND(Assumptions!F28&lt;=57,Assumptions!F28&gt;0),1,0)+IF(AND(Assumptions!F29&lt;=57,Assumptions!F29&gt;0),1,0))</f>
        <v>2250</v>
      </c>
      <c r="BL29" s="58">
        <f>Assumptions!C81+Assumptions!C82*(IF(AND(Assumptions!F20&lt;=58,Assumptions!F20&gt;0),1,0)+IF(AND(Assumptions!F21&lt;=58,Assumptions!F21&gt;0),1,0)+IF(AND(Assumptions!F22&lt;=58,Assumptions!F22&gt;0),1,0)+IF(AND(Assumptions!F23&lt;=58,Assumptions!F23&gt;0),1,0)+IF(AND(Assumptions!F24&lt;=58,Assumptions!F24&gt;0),1,0)+IF(AND(Assumptions!F25&lt;=58,Assumptions!F25&gt;0),1,0)+IF(AND(Assumptions!F26&lt;=58,Assumptions!F26&gt;0),1,0)+IF(AND(Assumptions!F27&lt;=58,Assumptions!F27&gt;0),1,0)+IF(AND(Assumptions!F28&lt;=58,Assumptions!F28&gt;0),1,0)+IF(AND(Assumptions!F29&lt;=58,Assumptions!F29&gt;0),1,0))</f>
        <v>2250</v>
      </c>
      <c r="BM29" s="40">
        <f>Assumptions!C81+Assumptions!C82*(IF(AND(Assumptions!F20&lt;=59,Assumptions!F20&gt;0),1,0)+IF(AND(Assumptions!F21&lt;=59,Assumptions!F21&gt;0),1,0)+IF(AND(Assumptions!F22&lt;=59,Assumptions!F22&gt;0),1,0)+IF(AND(Assumptions!F23&lt;=59,Assumptions!F23&gt;0),1,0)+IF(AND(Assumptions!F24&lt;=59,Assumptions!F24&gt;0),1,0)+IF(AND(Assumptions!F25&lt;=59,Assumptions!F25&gt;0),1,0)+IF(AND(Assumptions!F26&lt;=59,Assumptions!F26&gt;0),1,0)+IF(AND(Assumptions!F27&lt;=59,Assumptions!F27&gt;0),1,0)+IF(AND(Assumptions!F28&lt;=59,Assumptions!F28&gt;0),1,0)+IF(AND(Assumptions!F29&lt;=59,Assumptions!F29&gt;0),1,0))</f>
        <v>2250</v>
      </c>
      <c r="BN29" s="58">
        <f>Assumptions!C81+Assumptions!C82*(IF(AND(Assumptions!F20&lt;=60,Assumptions!F20&gt;0),1,0)+IF(AND(Assumptions!F21&lt;=60,Assumptions!F21&gt;0),1,0)+IF(AND(Assumptions!F22&lt;=60,Assumptions!F22&gt;0),1,0)+IF(AND(Assumptions!F23&lt;=60,Assumptions!F23&gt;0),1,0)+IF(AND(Assumptions!F24&lt;=60,Assumptions!F24&gt;0),1,0)+IF(AND(Assumptions!F25&lt;=60,Assumptions!F25&gt;0),1,0)+IF(AND(Assumptions!F26&lt;=60,Assumptions!F26&gt;0),1,0)+IF(AND(Assumptions!F27&lt;=60,Assumptions!F27&gt;0),1,0)+IF(AND(Assumptions!F28&lt;=60,Assumptions!F28&gt;0),1,0)+IF(AND(Assumptions!F29&lt;=60,Assumptions!F29&gt;0),1,0))</f>
        <v>2250</v>
      </c>
      <c r="BO29" s="59">
        <f t="shared" si="24"/>
        <v>27000</v>
      </c>
    </row>
    <row r="30" spans="2:67" x14ac:dyDescent="0.2">
      <c r="B30" s="51" t="s">
        <v>240</v>
      </c>
      <c r="C30" s="40">
        <f>IF(AND(Assumptions!F21&lt;=1,Assumptions!F21&gt;0),Assumptions!I21*Assumptions!C37/12,0)+IF(AND(Assumptions!F22&lt;=1,Assumptions!F22&gt;0),Assumptions!I22*Assumptions!C37/12,0)+IF(AND(Assumptions!F23&lt;=1,Assumptions!F23&gt;0),Assumptions!I23*Assumptions!C37/12,0)+IF(AND(Assumptions!F24&lt;=1,Assumptions!F24&gt;0),Assumptions!I24*Assumptions!C37/12,0)+IF(AND(Assumptions!F25&lt;=1,Assumptions!F25&gt;0),Assumptions!I25*Assumptions!C37/12,0)+IF(AND(Assumptions!F26&lt;=1,Assumptions!F26&gt;0),Assumptions!I26*Assumptions!C37/12,0)+IF(AND(Assumptions!F27&lt;=1,Assumptions!F27&gt;0),Assumptions!I27*Assumptions!C37/12,0)+IF(AND(Assumptions!F28&lt;=1,Assumptions!F28&gt;0),Assumptions!I28*Assumptions!C37/12,0)+IF(AND(Assumptions!F29&lt;=1,Assumptions!F29&gt;0),Assumptions!I29*Assumptions!C37/12,0)</f>
        <v>0</v>
      </c>
      <c r="D30" s="58">
        <f>IF(AND(Assumptions!F21&lt;=2,Assumptions!F21&gt;0),Assumptions!I21*Assumptions!C37/12,0)+IF(AND(Assumptions!F22&lt;=2,Assumptions!F22&gt;0),Assumptions!I22*Assumptions!C37/12,0)+IF(AND(Assumptions!F23&lt;=2,Assumptions!F23&gt;0),Assumptions!I23*Assumptions!C37/12,0)+IF(AND(Assumptions!F24&lt;=2,Assumptions!F24&gt;0),Assumptions!I24*Assumptions!C37/12,0)+IF(AND(Assumptions!F25&lt;=2,Assumptions!F25&gt;0),Assumptions!I25*Assumptions!C37/12,0)+IF(AND(Assumptions!F26&lt;=2,Assumptions!F26&gt;0),Assumptions!I26*Assumptions!C37/12,0)+IF(AND(Assumptions!F27&lt;=2,Assumptions!F27&gt;0),Assumptions!I27*Assumptions!C37/12,0)+IF(AND(Assumptions!F28&lt;=2,Assumptions!F28&gt;0),Assumptions!I28*Assumptions!C37/12,0)+IF(AND(Assumptions!F29&lt;=2,Assumptions!F29&gt;0),Assumptions!I29*Assumptions!C37/12,0)</f>
        <v>0</v>
      </c>
      <c r="E30" s="40">
        <f>IF(AND(Assumptions!F21&lt;=3,Assumptions!F21&gt;0),Assumptions!I21*Assumptions!C37/12,0)+IF(AND(Assumptions!F22&lt;=3,Assumptions!F22&gt;0),Assumptions!I22*Assumptions!C37/12,0)+IF(AND(Assumptions!F23&lt;=3,Assumptions!F23&gt;0),Assumptions!I23*Assumptions!C37/12,0)+IF(AND(Assumptions!F24&lt;=3,Assumptions!F24&gt;0),Assumptions!I24*Assumptions!C37/12,0)+IF(AND(Assumptions!F25&lt;=3,Assumptions!F25&gt;0),Assumptions!I25*Assumptions!C37/12,0)+IF(AND(Assumptions!F26&lt;=3,Assumptions!F26&gt;0),Assumptions!I26*Assumptions!C37/12,0)+IF(AND(Assumptions!F27&lt;=3,Assumptions!F27&gt;0),Assumptions!I27*Assumptions!C37/12,0)+IF(AND(Assumptions!F28&lt;=3,Assumptions!F28&gt;0),Assumptions!I28*Assumptions!C37/12,0)+IF(AND(Assumptions!F29&lt;=3,Assumptions!F29&gt;0),Assumptions!I29*Assumptions!C37/12,0)</f>
        <v>0</v>
      </c>
      <c r="F30" s="58">
        <f>IF(AND(Assumptions!F21&lt;=4,Assumptions!F21&gt;0),Assumptions!I21*Assumptions!C37/12,0)+IF(AND(Assumptions!F22&lt;=4,Assumptions!F22&gt;0),Assumptions!I22*Assumptions!C37/12,0)+IF(AND(Assumptions!F23&lt;=4,Assumptions!F23&gt;0),Assumptions!I23*Assumptions!C37/12,0)+IF(AND(Assumptions!F24&lt;=4,Assumptions!F24&gt;0),Assumptions!I24*Assumptions!C37/12,0)+IF(AND(Assumptions!F25&lt;=4,Assumptions!F25&gt;0),Assumptions!I25*Assumptions!C37/12,0)+IF(AND(Assumptions!F26&lt;=4,Assumptions!F26&gt;0),Assumptions!I26*Assumptions!C37/12,0)+IF(AND(Assumptions!F27&lt;=4,Assumptions!F27&gt;0),Assumptions!I27*Assumptions!C37/12,0)+IF(AND(Assumptions!F28&lt;=4,Assumptions!F28&gt;0),Assumptions!I28*Assumptions!C37/12,0)+IF(AND(Assumptions!F29&lt;=4,Assumptions!F29&gt;0),Assumptions!I29*Assumptions!C37/12,0)</f>
        <v>0</v>
      </c>
      <c r="G30" s="40">
        <f>IF(AND(Assumptions!F21&lt;=5,Assumptions!F21&gt;0),Assumptions!I21*Assumptions!C37/12,0)+IF(AND(Assumptions!F22&lt;=5,Assumptions!F22&gt;0),Assumptions!I22*Assumptions!C37/12,0)+IF(AND(Assumptions!F23&lt;=5,Assumptions!F23&gt;0),Assumptions!I23*Assumptions!C37/12,0)+IF(AND(Assumptions!F24&lt;=5,Assumptions!F24&gt;0),Assumptions!I24*Assumptions!C37/12,0)+IF(AND(Assumptions!F25&lt;=5,Assumptions!F25&gt;0),Assumptions!I25*Assumptions!C37/12,0)+IF(AND(Assumptions!F26&lt;=5,Assumptions!F26&gt;0),Assumptions!I26*Assumptions!C37/12,0)+IF(AND(Assumptions!F27&lt;=5,Assumptions!F27&gt;0),Assumptions!I27*Assumptions!C37/12,0)+IF(AND(Assumptions!F28&lt;=5,Assumptions!F28&gt;0),Assumptions!I28*Assumptions!C37/12,0)+IF(AND(Assumptions!F29&lt;=5,Assumptions!F29&gt;0),Assumptions!I29*Assumptions!C37/12,0)</f>
        <v>0</v>
      </c>
      <c r="H30" s="58">
        <f>IF(AND(Assumptions!F21&lt;=6,Assumptions!F21&gt;0),Assumptions!I21*Assumptions!C37/12,0)+IF(AND(Assumptions!F22&lt;=6,Assumptions!F22&gt;0),Assumptions!I22*Assumptions!C37/12,0)+IF(AND(Assumptions!F23&lt;=6,Assumptions!F23&gt;0),Assumptions!I23*Assumptions!C37/12,0)+IF(AND(Assumptions!F24&lt;=6,Assumptions!F24&gt;0),Assumptions!I24*Assumptions!C37/12,0)+IF(AND(Assumptions!F25&lt;=6,Assumptions!F25&gt;0),Assumptions!I25*Assumptions!C37/12,0)+IF(AND(Assumptions!F26&lt;=6,Assumptions!F26&gt;0),Assumptions!I26*Assumptions!C37/12,0)+IF(AND(Assumptions!F27&lt;=6,Assumptions!F27&gt;0),Assumptions!I27*Assumptions!C37/12,0)+IF(AND(Assumptions!F28&lt;=6,Assumptions!F28&gt;0),Assumptions!I28*Assumptions!C37/12,0)+IF(AND(Assumptions!F29&lt;=6,Assumptions!F29&gt;0),Assumptions!I29*Assumptions!C37/12,0)</f>
        <v>0</v>
      </c>
      <c r="I30" s="40">
        <f>IF(AND(Assumptions!F21&lt;=7,Assumptions!F21&gt;0),Assumptions!I21*Assumptions!C37/12,0)+IF(AND(Assumptions!F22&lt;=7,Assumptions!F22&gt;0),Assumptions!I22*Assumptions!C37/12,0)+IF(AND(Assumptions!F23&lt;=7,Assumptions!F23&gt;0),Assumptions!I23*Assumptions!C37/12,0)+IF(AND(Assumptions!F24&lt;=7,Assumptions!F24&gt;0),Assumptions!I24*Assumptions!C37/12,0)+IF(AND(Assumptions!F25&lt;=7,Assumptions!F25&gt;0),Assumptions!I25*Assumptions!C37/12,0)+IF(AND(Assumptions!F26&lt;=7,Assumptions!F26&gt;0),Assumptions!I26*Assumptions!C37/12,0)+IF(AND(Assumptions!F27&lt;=7,Assumptions!F27&gt;0),Assumptions!I27*Assumptions!C37/12,0)+IF(AND(Assumptions!F28&lt;=7,Assumptions!F28&gt;0),Assumptions!I28*Assumptions!C37/12,0)+IF(AND(Assumptions!F29&lt;=7,Assumptions!F29&gt;0),Assumptions!I29*Assumptions!C37/12,0)</f>
        <v>0</v>
      </c>
      <c r="J30" s="58">
        <f>IF(AND(Assumptions!F21&lt;=8,Assumptions!F21&gt;0),Assumptions!I21*Assumptions!C37/12,0)+IF(AND(Assumptions!F22&lt;=8,Assumptions!F22&gt;0),Assumptions!I22*Assumptions!C37/12,0)+IF(AND(Assumptions!F23&lt;=8,Assumptions!F23&gt;0),Assumptions!I23*Assumptions!C37/12,0)+IF(AND(Assumptions!F24&lt;=8,Assumptions!F24&gt;0),Assumptions!I24*Assumptions!C37/12,0)+IF(AND(Assumptions!F25&lt;=8,Assumptions!F25&gt;0),Assumptions!I25*Assumptions!C37/12,0)+IF(AND(Assumptions!F26&lt;=8,Assumptions!F26&gt;0),Assumptions!I26*Assumptions!C37/12,0)+IF(AND(Assumptions!F27&lt;=8,Assumptions!F27&gt;0),Assumptions!I27*Assumptions!C37/12,0)+IF(AND(Assumptions!F28&lt;=8,Assumptions!F28&gt;0),Assumptions!I28*Assumptions!C37/12,0)+IF(AND(Assumptions!F29&lt;=8,Assumptions!F29&gt;0),Assumptions!I29*Assumptions!C37/12,0)</f>
        <v>0</v>
      </c>
      <c r="K30" s="40">
        <f>IF(AND(Assumptions!F21&lt;=9,Assumptions!F21&gt;0),Assumptions!I21*Assumptions!C37/12,0)+IF(AND(Assumptions!F22&lt;=9,Assumptions!F22&gt;0),Assumptions!I22*Assumptions!C37/12,0)+IF(AND(Assumptions!F23&lt;=9,Assumptions!F23&gt;0),Assumptions!I23*Assumptions!C37/12,0)+IF(AND(Assumptions!F24&lt;=9,Assumptions!F24&gt;0),Assumptions!I24*Assumptions!C37/12,0)+IF(AND(Assumptions!F25&lt;=9,Assumptions!F25&gt;0),Assumptions!I25*Assumptions!C37/12,0)+IF(AND(Assumptions!F26&lt;=9,Assumptions!F26&gt;0),Assumptions!I26*Assumptions!C37/12,0)+IF(AND(Assumptions!F27&lt;=9,Assumptions!F27&gt;0),Assumptions!I27*Assumptions!C37/12,0)+IF(AND(Assumptions!F28&lt;=9,Assumptions!F28&gt;0),Assumptions!I28*Assumptions!C37/12,0)+IF(AND(Assumptions!F29&lt;=9,Assumptions!F29&gt;0),Assumptions!I29*Assumptions!C37/12,0)</f>
        <v>0</v>
      </c>
      <c r="L30" s="58">
        <f>IF(AND(Assumptions!F21&lt;=10,Assumptions!F21&gt;0),Assumptions!I21*Assumptions!C37/12,0)+IF(AND(Assumptions!F22&lt;=10,Assumptions!F22&gt;0),Assumptions!I22*Assumptions!C37/12,0)+IF(AND(Assumptions!F23&lt;=10,Assumptions!F23&gt;0),Assumptions!I23*Assumptions!C37/12,0)+IF(AND(Assumptions!F24&lt;=10,Assumptions!F24&gt;0),Assumptions!I24*Assumptions!C37/12,0)+IF(AND(Assumptions!F25&lt;=10,Assumptions!F25&gt;0),Assumptions!I25*Assumptions!C37/12,0)+IF(AND(Assumptions!F26&lt;=10,Assumptions!F26&gt;0),Assumptions!I26*Assumptions!C37/12,0)+IF(AND(Assumptions!F27&lt;=10,Assumptions!F27&gt;0),Assumptions!I27*Assumptions!C37/12,0)+IF(AND(Assumptions!F28&lt;=10,Assumptions!F28&gt;0),Assumptions!I28*Assumptions!C37/12,0)+IF(AND(Assumptions!F29&lt;=10,Assumptions!F29&gt;0),Assumptions!I29*Assumptions!C37/12,0)</f>
        <v>0</v>
      </c>
      <c r="M30" s="40">
        <f>IF(AND(Assumptions!F21&lt;=11,Assumptions!F21&gt;0),Assumptions!I21*Assumptions!C37/12,0)+IF(AND(Assumptions!F22&lt;=11,Assumptions!F22&gt;0),Assumptions!I22*Assumptions!C37/12,0)+IF(AND(Assumptions!F23&lt;=11,Assumptions!F23&gt;0),Assumptions!I23*Assumptions!C37/12,0)+IF(AND(Assumptions!F24&lt;=11,Assumptions!F24&gt;0),Assumptions!I24*Assumptions!C37/12,0)+IF(AND(Assumptions!F25&lt;=11,Assumptions!F25&gt;0),Assumptions!I25*Assumptions!C37/12,0)+IF(AND(Assumptions!F26&lt;=11,Assumptions!F26&gt;0),Assumptions!I26*Assumptions!C37/12,0)+IF(AND(Assumptions!F27&lt;=11,Assumptions!F27&gt;0),Assumptions!I27*Assumptions!C37/12,0)+IF(AND(Assumptions!F28&lt;=11,Assumptions!F28&gt;0),Assumptions!I28*Assumptions!C37/12,0)+IF(AND(Assumptions!F29&lt;=11,Assumptions!F29&gt;0),Assumptions!I29*Assumptions!C37/12,0)</f>
        <v>0</v>
      </c>
      <c r="N30" s="58">
        <f>IF(AND(Assumptions!F21&lt;=12,Assumptions!F21&gt;0),Assumptions!I21*Assumptions!C37/12,0)+IF(AND(Assumptions!F22&lt;=12,Assumptions!F22&gt;0),Assumptions!I22*Assumptions!C37/12,0)+IF(AND(Assumptions!F23&lt;=12,Assumptions!F23&gt;0),Assumptions!I23*Assumptions!C37/12,0)+IF(AND(Assumptions!F24&lt;=12,Assumptions!F24&gt;0),Assumptions!I24*Assumptions!C37/12,0)+IF(AND(Assumptions!F25&lt;=12,Assumptions!F25&gt;0),Assumptions!I25*Assumptions!C37/12,0)+IF(AND(Assumptions!F26&lt;=12,Assumptions!F26&gt;0),Assumptions!I26*Assumptions!C37/12,0)+IF(AND(Assumptions!F27&lt;=12,Assumptions!F27&gt;0),Assumptions!I27*Assumptions!C37/12,0)+IF(AND(Assumptions!F28&lt;=12,Assumptions!F28&gt;0),Assumptions!I28*Assumptions!C37/12,0)+IF(AND(Assumptions!F29&lt;=12,Assumptions!F29&gt;0),Assumptions!I29*Assumptions!C37/12,0)</f>
        <v>0</v>
      </c>
      <c r="O30" s="59">
        <f t="shared" si="20"/>
        <v>0</v>
      </c>
      <c r="P30" s="40">
        <f>IF(AND(Assumptions!F21&lt;=13,Assumptions!F21&gt;0),Assumptions!I21*Assumptions!C37/12,0)+IF(AND(Assumptions!F22&lt;=13,Assumptions!F22&gt;0),Assumptions!I22*Assumptions!C37/12,0)+IF(AND(Assumptions!F23&lt;=13,Assumptions!F23&gt;0),Assumptions!I23*Assumptions!C37/12,0)+IF(AND(Assumptions!F24&lt;=13,Assumptions!F24&gt;0),Assumptions!I24*Assumptions!C37/12,0)+IF(AND(Assumptions!F25&lt;=13,Assumptions!F25&gt;0),Assumptions!I25*Assumptions!C37/12,0)+IF(AND(Assumptions!F26&lt;=13,Assumptions!F26&gt;0),Assumptions!I26*Assumptions!C37/12,0)+IF(AND(Assumptions!F27&lt;=13,Assumptions!F27&gt;0),Assumptions!I27*Assumptions!C37/12,0)+IF(AND(Assumptions!F28&lt;=13,Assumptions!F28&gt;0),Assumptions!I28*Assumptions!C37/12,0)+IF(AND(Assumptions!F29&lt;=13,Assumptions!F29&gt;0),Assumptions!I29*Assumptions!C37/12,0)</f>
        <v>0</v>
      </c>
      <c r="Q30" s="58">
        <f>IF(AND(Assumptions!F21&lt;=14,Assumptions!F21&gt;0),Assumptions!I21*Assumptions!C37/12,0)+IF(AND(Assumptions!F22&lt;=14,Assumptions!F22&gt;0),Assumptions!I22*Assumptions!C37/12,0)+IF(AND(Assumptions!F23&lt;=14,Assumptions!F23&gt;0),Assumptions!I23*Assumptions!C37/12,0)+IF(AND(Assumptions!F24&lt;=14,Assumptions!F24&gt;0),Assumptions!I24*Assumptions!C37/12,0)+IF(AND(Assumptions!F25&lt;=14,Assumptions!F25&gt;0),Assumptions!I25*Assumptions!C37/12,0)+IF(AND(Assumptions!F26&lt;=14,Assumptions!F26&gt;0),Assumptions!I26*Assumptions!C37/12,0)+IF(AND(Assumptions!F27&lt;=14,Assumptions!F27&gt;0),Assumptions!I27*Assumptions!C37/12,0)+IF(AND(Assumptions!F28&lt;=14,Assumptions!F28&gt;0),Assumptions!I28*Assumptions!C37/12,0)+IF(AND(Assumptions!F29&lt;=14,Assumptions!F29&gt;0),Assumptions!I29*Assumptions!C37/12,0)</f>
        <v>0</v>
      </c>
      <c r="R30" s="40">
        <f>IF(AND(Assumptions!F21&lt;=15,Assumptions!F21&gt;0),Assumptions!I21*Assumptions!C37/12,0)+IF(AND(Assumptions!F22&lt;=15,Assumptions!F22&gt;0),Assumptions!I22*Assumptions!C37/12,0)+IF(AND(Assumptions!F23&lt;=15,Assumptions!F23&gt;0),Assumptions!I23*Assumptions!C37/12,0)+IF(AND(Assumptions!F24&lt;=15,Assumptions!F24&gt;0),Assumptions!I24*Assumptions!C37/12,0)+IF(AND(Assumptions!F25&lt;=15,Assumptions!F25&gt;0),Assumptions!I25*Assumptions!C37/12,0)+IF(AND(Assumptions!F26&lt;=15,Assumptions!F26&gt;0),Assumptions!I26*Assumptions!C37/12,0)+IF(AND(Assumptions!F27&lt;=15,Assumptions!F27&gt;0),Assumptions!I27*Assumptions!C37/12,0)+IF(AND(Assumptions!F28&lt;=15,Assumptions!F28&gt;0),Assumptions!I28*Assumptions!C37/12,0)+IF(AND(Assumptions!F29&lt;=15,Assumptions!F29&gt;0),Assumptions!I29*Assumptions!C37/12,0)</f>
        <v>0</v>
      </c>
      <c r="S30" s="58">
        <f>IF(AND(Assumptions!F21&lt;=16,Assumptions!F21&gt;0),Assumptions!I21*Assumptions!C37/12,0)+IF(AND(Assumptions!F22&lt;=16,Assumptions!F22&gt;0),Assumptions!I22*Assumptions!C37/12,0)+IF(AND(Assumptions!F23&lt;=16,Assumptions!F23&gt;0),Assumptions!I23*Assumptions!C37/12,0)+IF(AND(Assumptions!F24&lt;=16,Assumptions!F24&gt;0),Assumptions!I24*Assumptions!C37/12,0)+IF(AND(Assumptions!F25&lt;=16,Assumptions!F25&gt;0),Assumptions!I25*Assumptions!C37/12,0)+IF(AND(Assumptions!F26&lt;=16,Assumptions!F26&gt;0),Assumptions!I26*Assumptions!C37/12,0)+IF(AND(Assumptions!F27&lt;=16,Assumptions!F27&gt;0),Assumptions!I27*Assumptions!C37/12,0)+IF(AND(Assumptions!F28&lt;=16,Assumptions!F28&gt;0),Assumptions!I28*Assumptions!C37/12,0)+IF(AND(Assumptions!F29&lt;=16,Assumptions!F29&gt;0),Assumptions!I29*Assumptions!C37/12,0)</f>
        <v>0</v>
      </c>
      <c r="T30" s="40">
        <f>IF(AND(Assumptions!F21&lt;=17,Assumptions!F21&gt;0),Assumptions!I21*Assumptions!C37/12,0)+IF(AND(Assumptions!F22&lt;=17,Assumptions!F22&gt;0),Assumptions!I22*Assumptions!C37/12,0)+IF(AND(Assumptions!F23&lt;=17,Assumptions!F23&gt;0),Assumptions!I23*Assumptions!C37/12,0)+IF(AND(Assumptions!F24&lt;=17,Assumptions!F24&gt;0),Assumptions!I24*Assumptions!C37/12,0)+IF(AND(Assumptions!F25&lt;=17,Assumptions!F25&gt;0),Assumptions!I25*Assumptions!C37/12,0)+IF(AND(Assumptions!F26&lt;=17,Assumptions!F26&gt;0),Assumptions!I26*Assumptions!C37/12,0)+IF(AND(Assumptions!F27&lt;=17,Assumptions!F27&gt;0),Assumptions!I27*Assumptions!C37/12,0)+IF(AND(Assumptions!F28&lt;=17,Assumptions!F28&gt;0),Assumptions!I28*Assumptions!C37/12,0)+IF(AND(Assumptions!F29&lt;=17,Assumptions!F29&gt;0),Assumptions!I29*Assumptions!C37/12,0)</f>
        <v>0</v>
      </c>
      <c r="U30" s="58">
        <f>IF(AND(Assumptions!F21&lt;=18,Assumptions!F21&gt;0),Assumptions!I21*Assumptions!C37/12,0)+IF(AND(Assumptions!F22&lt;=18,Assumptions!F22&gt;0),Assumptions!I22*Assumptions!C37/12,0)+IF(AND(Assumptions!F23&lt;=18,Assumptions!F23&gt;0),Assumptions!I23*Assumptions!C37/12,0)+IF(AND(Assumptions!F24&lt;=18,Assumptions!F24&gt;0),Assumptions!I24*Assumptions!C37/12,0)+IF(AND(Assumptions!F25&lt;=18,Assumptions!F25&gt;0),Assumptions!I25*Assumptions!C37/12,0)+IF(AND(Assumptions!F26&lt;=18,Assumptions!F26&gt;0),Assumptions!I26*Assumptions!C37/12,0)+IF(AND(Assumptions!F27&lt;=18,Assumptions!F27&gt;0),Assumptions!I27*Assumptions!C37/12,0)+IF(AND(Assumptions!F28&lt;=18,Assumptions!F28&gt;0),Assumptions!I28*Assumptions!C37/12,0)+IF(AND(Assumptions!F29&lt;=18,Assumptions!F29&gt;0),Assumptions!I29*Assumptions!C37/12,0)</f>
        <v>0</v>
      </c>
      <c r="V30" s="40">
        <f>IF(AND(Assumptions!F21&lt;=19,Assumptions!F21&gt;0),Assumptions!I21*Assumptions!C37/12,0)+IF(AND(Assumptions!F22&lt;=19,Assumptions!F22&gt;0),Assumptions!I22*Assumptions!C37/12,0)+IF(AND(Assumptions!F23&lt;=19,Assumptions!F23&gt;0),Assumptions!I23*Assumptions!C37/12,0)+IF(AND(Assumptions!F24&lt;=19,Assumptions!F24&gt;0),Assumptions!I24*Assumptions!C37/12,0)+IF(AND(Assumptions!F25&lt;=19,Assumptions!F25&gt;0),Assumptions!I25*Assumptions!C37/12,0)+IF(AND(Assumptions!F26&lt;=19,Assumptions!F26&gt;0),Assumptions!I26*Assumptions!C37/12,0)+IF(AND(Assumptions!F27&lt;=19,Assumptions!F27&gt;0),Assumptions!I27*Assumptions!C37/12,0)+IF(AND(Assumptions!F28&lt;=19,Assumptions!F28&gt;0),Assumptions!I28*Assumptions!C37/12,0)+IF(AND(Assumptions!F29&lt;=19,Assumptions!F29&gt;0),Assumptions!I29*Assumptions!C37/12,0)</f>
        <v>0</v>
      </c>
      <c r="W30" s="58">
        <f>IF(AND(Assumptions!F21&lt;=20,Assumptions!F21&gt;0),Assumptions!I21*Assumptions!C37/12,0)+IF(AND(Assumptions!F22&lt;=20,Assumptions!F22&gt;0),Assumptions!I22*Assumptions!C37/12,0)+IF(AND(Assumptions!F23&lt;=20,Assumptions!F23&gt;0),Assumptions!I23*Assumptions!C37/12,0)+IF(AND(Assumptions!F24&lt;=20,Assumptions!F24&gt;0),Assumptions!I24*Assumptions!C37/12,0)+IF(AND(Assumptions!F25&lt;=20,Assumptions!F25&gt;0),Assumptions!I25*Assumptions!C37/12,0)+IF(AND(Assumptions!F26&lt;=20,Assumptions!F26&gt;0),Assumptions!I26*Assumptions!C37/12,0)+IF(AND(Assumptions!F27&lt;=20,Assumptions!F27&gt;0),Assumptions!I27*Assumptions!C37/12,0)+IF(AND(Assumptions!F28&lt;=20,Assumptions!F28&gt;0),Assumptions!I28*Assumptions!C37/12,0)+IF(AND(Assumptions!F29&lt;=20,Assumptions!F29&gt;0),Assumptions!I29*Assumptions!C37/12,0)</f>
        <v>0</v>
      </c>
      <c r="X30" s="40">
        <f>IF(AND(Assumptions!F21&lt;=21,Assumptions!F21&gt;0),Assumptions!I21*Assumptions!C37/12,0)+IF(AND(Assumptions!F22&lt;=21,Assumptions!F22&gt;0),Assumptions!I22*Assumptions!C37/12,0)+IF(AND(Assumptions!F23&lt;=21,Assumptions!F23&gt;0),Assumptions!I23*Assumptions!C37/12,0)+IF(AND(Assumptions!F24&lt;=21,Assumptions!F24&gt;0),Assumptions!I24*Assumptions!C37/12,0)+IF(AND(Assumptions!F25&lt;=21,Assumptions!F25&gt;0),Assumptions!I25*Assumptions!C37/12,0)+IF(AND(Assumptions!F26&lt;=21,Assumptions!F26&gt;0),Assumptions!I26*Assumptions!C37/12,0)+IF(AND(Assumptions!F27&lt;=21,Assumptions!F27&gt;0),Assumptions!I27*Assumptions!C37/12,0)+IF(AND(Assumptions!F28&lt;=21,Assumptions!F28&gt;0),Assumptions!I28*Assumptions!C37/12,0)+IF(AND(Assumptions!F29&lt;=21,Assumptions!F29&gt;0),Assumptions!I29*Assumptions!C37/12,0)</f>
        <v>0</v>
      </c>
      <c r="Y30" s="58">
        <f>IF(AND(Assumptions!F21&lt;=22,Assumptions!F21&gt;0),Assumptions!I21*Assumptions!C37/12,0)+IF(AND(Assumptions!F22&lt;=22,Assumptions!F22&gt;0),Assumptions!I22*Assumptions!C37/12,0)+IF(AND(Assumptions!F23&lt;=22,Assumptions!F23&gt;0),Assumptions!I23*Assumptions!C37/12,0)+IF(AND(Assumptions!F24&lt;=22,Assumptions!F24&gt;0),Assumptions!I24*Assumptions!C37/12,0)+IF(AND(Assumptions!F25&lt;=22,Assumptions!F25&gt;0),Assumptions!I25*Assumptions!C37/12,0)+IF(AND(Assumptions!F26&lt;=22,Assumptions!F26&gt;0),Assumptions!I26*Assumptions!C37/12,0)+IF(AND(Assumptions!F27&lt;=22,Assumptions!F27&gt;0),Assumptions!I27*Assumptions!C37/12,0)+IF(AND(Assumptions!F28&lt;=22,Assumptions!F28&gt;0),Assumptions!I28*Assumptions!C37/12,0)+IF(AND(Assumptions!F29&lt;=22,Assumptions!F29&gt;0),Assumptions!I29*Assumptions!C37/12,0)</f>
        <v>0</v>
      </c>
      <c r="Z30" s="40">
        <f>IF(AND(Assumptions!F21&lt;=23,Assumptions!F21&gt;0),Assumptions!I21*Assumptions!C37/12,0)+IF(AND(Assumptions!F22&lt;=23,Assumptions!F22&gt;0),Assumptions!I22*Assumptions!C37/12,0)+IF(AND(Assumptions!F23&lt;=23,Assumptions!F23&gt;0),Assumptions!I23*Assumptions!C37/12,0)+IF(AND(Assumptions!F24&lt;=23,Assumptions!F24&gt;0),Assumptions!I24*Assumptions!C37/12,0)+IF(AND(Assumptions!F25&lt;=23,Assumptions!F25&gt;0),Assumptions!I25*Assumptions!C37/12,0)+IF(AND(Assumptions!F26&lt;=23,Assumptions!F26&gt;0),Assumptions!I26*Assumptions!C37/12,0)+IF(AND(Assumptions!F27&lt;=23,Assumptions!F27&gt;0),Assumptions!I27*Assumptions!C37/12,0)+IF(AND(Assumptions!F28&lt;=23,Assumptions!F28&gt;0),Assumptions!I28*Assumptions!C37/12,0)+IF(AND(Assumptions!F29&lt;=23,Assumptions!F29&gt;0),Assumptions!I29*Assumptions!C37/12,0)</f>
        <v>0</v>
      </c>
      <c r="AA30" s="58">
        <f>IF(AND(Assumptions!F21&lt;=24,Assumptions!F21&gt;0),Assumptions!I21*Assumptions!C37/12,0)+IF(AND(Assumptions!F22&lt;=24,Assumptions!F22&gt;0),Assumptions!I22*Assumptions!C37/12,0)+IF(AND(Assumptions!F23&lt;=24,Assumptions!F23&gt;0),Assumptions!I23*Assumptions!C37/12,0)+IF(AND(Assumptions!F24&lt;=24,Assumptions!F24&gt;0),Assumptions!I24*Assumptions!C37/12,0)+IF(AND(Assumptions!F25&lt;=24,Assumptions!F25&gt;0),Assumptions!I25*Assumptions!C37/12,0)+IF(AND(Assumptions!F26&lt;=24,Assumptions!F26&gt;0),Assumptions!I26*Assumptions!C37/12,0)+IF(AND(Assumptions!F27&lt;=24,Assumptions!F27&gt;0),Assumptions!I27*Assumptions!C37/12,0)+IF(AND(Assumptions!F28&lt;=24,Assumptions!F28&gt;0),Assumptions!I28*Assumptions!C37/12,0)+IF(AND(Assumptions!F29&lt;=24,Assumptions!F29&gt;0),Assumptions!I29*Assumptions!C37/12,0)</f>
        <v>0</v>
      </c>
      <c r="AB30" s="59">
        <f t="shared" si="21"/>
        <v>0</v>
      </c>
      <c r="AC30" s="40">
        <f>IF(AND(Assumptions!F21&lt;=25,Assumptions!F21&gt;0),Assumptions!I21*Assumptions!C37/12,0)+IF(AND(Assumptions!F22&lt;=25,Assumptions!F22&gt;0),Assumptions!I22*Assumptions!C37/12,0)+IF(AND(Assumptions!F23&lt;=25,Assumptions!F23&gt;0),Assumptions!I23*Assumptions!C37/12,0)+IF(AND(Assumptions!F24&lt;=25,Assumptions!F24&gt;0),Assumptions!I24*Assumptions!C37/12,0)+IF(AND(Assumptions!F25&lt;=25,Assumptions!F25&gt;0),Assumptions!I25*Assumptions!C37/12,0)+IF(AND(Assumptions!F26&lt;=25,Assumptions!F26&gt;0),Assumptions!I26*Assumptions!C37/12,0)+IF(AND(Assumptions!F27&lt;=25,Assumptions!F27&gt;0),Assumptions!I27*Assumptions!C37/12,0)+IF(AND(Assumptions!F28&lt;=25,Assumptions!F28&gt;0),Assumptions!I28*Assumptions!C37/12,0)+IF(AND(Assumptions!F29&lt;=25,Assumptions!F29&gt;0),Assumptions!I29*Assumptions!C37/12,0)</f>
        <v>0</v>
      </c>
      <c r="AD30" s="58">
        <f>IF(AND(Assumptions!F21&lt;=26,Assumptions!F21&gt;0),Assumptions!I21*Assumptions!C37/12,0)+IF(AND(Assumptions!F22&lt;=26,Assumptions!F22&gt;0),Assumptions!I22*Assumptions!C37/12,0)+IF(AND(Assumptions!F23&lt;=26,Assumptions!F23&gt;0),Assumptions!I23*Assumptions!C37/12,0)+IF(AND(Assumptions!F24&lt;=26,Assumptions!F24&gt;0),Assumptions!I24*Assumptions!C37/12,0)+IF(AND(Assumptions!F25&lt;=26,Assumptions!F25&gt;0),Assumptions!I25*Assumptions!C37/12,0)+IF(AND(Assumptions!F26&lt;=26,Assumptions!F26&gt;0),Assumptions!I26*Assumptions!C37/12,0)+IF(AND(Assumptions!F27&lt;=26,Assumptions!F27&gt;0),Assumptions!I27*Assumptions!C37/12,0)+IF(AND(Assumptions!F28&lt;=26,Assumptions!F28&gt;0),Assumptions!I28*Assumptions!C37/12,0)+IF(AND(Assumptions!F29&lt;=26,Assumptions!F29&gt;0),Assumptions!I29*Assumptions!C37/12,0)</f>
        <v>0</v>
      </c>
      <c r="AE30" s="40">
        <f>IF(AND(Assumptions!F21&lt;=27,Assumptions!F21&gt;0),Assumptions!I21*Assumptions!C37/12,0)+IF(AND(Assumptions!F22&lt;=27,Assumptions!F22&gt;0),Assumptions!I22*Assumptions!C37/12,0)+IF(AND(Assumptions!F23&lt;=27,Assumptions!F23&gt;0),Assumptions!I23*Assumptions!C37/12,0)+IF(AND(Assumptions!F24&lt;=27,Assumptions!F24&gt;0),Assumptions!I24*Assumptions!C37/12,0)+IF(AND(Assumptions!F25&lt;=27,Assumptions!F25&gt;0),Assumptions!I25*Assumptions!C37/12,0)+IF(AND(Assumptions!F26&lt;=27,Assumptions!F26&gt;0),Assumptions!I26*Assumptions!C37/12,0)+IF(AND(Assumptions!F27&lt;=27,Assumptions!F27&gt;0),Assumptions!I27*Assumptions!C37/12,0)+IF(AND(Assumptions!F28&lt;=27,Assumptions!F28&gt;0),Assumptions!I28*Assumptions!C37/12,0)+IF(AND(Assumptions!F29&lt;=27,Assumptions!F29&gt;0),Assumptions!I29*Assumptions!C37/12,0)</f>
        <v>0</v>
      </c>
      <c r="AF30" s="58">
        <f>IF(AND(Assumptions!F21&lt;=28,Assumptions!F21&gt;0),Assumptions!I21*Assumptions!C37/12,0)+IF(AND(Assumptions!F22&lt;=28,Assumptions!F22&gt;0),Assumptions!I22*Assumptions!C37/12,0)+IF(AND(Assumptions!F23&lt;=28,Assumptions!F23&gt;0),Assumptions!I23*Assumptions!C37/12,0)+IF(AND(Assumptions!F24&lt;=28,Assumptions!F24&gt;0),Assumptions!I24*Assumptions!C37/12,0)+IF(AND(Assumptions!F25&lt;=28,Assumptions!F25&gt;0),Assumptions!I25*Assumptions!C37/12,0)+IF(AND(Assumptions!F26&lt;=28,Assumptions!F26&gt;0),Assumptions!I26*Assumptions!C37/12,0)+IF(AND(Assumptions!F27&lt;=28,Assumptions!F27&gt;0),Assumptions!I27*Assumptions!C37/12,0)+IF(AND(Assumptions!F28&lt;=28,Assumptions!F28&gt;0),Assumptions!I28*Assumptions!C37/12,0)+IF(AND(Assumptions!F29&lt;=28,Assumptions!F29&gt;0),Assumptions!I29*Assumptions!C37/12,0)</f>
        <v>0</v>
      </c>
      <c r="AG30" s="40">
        <f>IF(AND(Assumptions!F21&lt;=29,Assumptions!F21&gt;0),Assumptions!I21*Assumptions!C37/12,0)+IF(AND(Assumptions!F22&lt;=29,Assumptions!F22&gt;0),Assumptions!I22*Assumptions!C37/12,0)+IF(AND(Assumptions!F23&lt;=29,Assumptions!F23&gt;0),Assumptions!I23*Assumptions!C37/12,0)+IF(AND(Assumptions!F24&lt;=29,Assumptions!F24&gt;0),Assumptions!I24*Assumptions!C37/12,0)+IF(AND(Assumptions!F25&lt;=29,Assumptions!F25&gt;0),Assumptions!I25*Assumptions!C37/12,0)+IF(AND(Assumptions!F26&lt;=29,Assumptions!F26&gt;0),Assumptions!I26*Assumptions!C37/12,0)+IF(AND(Assumptions!F27&lt;=29,Assumptions!F27&gt;0),Assumptions!I27*Assumptions!C37/12,0)+IF(AND(Assumptions!F28&lt;=29,Assumptions!F28&gt;0),Assumptions!I28*Assumptions!C37/12,0)+IF(AND(Assumptions!F29&lt;=29,Assumptions!F29&gt;0),Assumptions!I29*Assumptions!C37/12,0)</f>
        <v>0</v>
      </c>
      <c r="AH30" s="58">
        <f>IF(AND(Assumptions!F21&lt;=30,Assumptions!F21&gt;0),Assumptions!I21*Assumptions!C37/12,0)+IF(AND(Assumptions!F22&lt;=30,Assumptions!F22&gt;0),Assumptions!I22*Assumptions!C37/12,0)+IF(AND(Assumptions!F23&lt;=30,Assumptions!F23&gt;0),Assumptions!I23*Assumptions!C37/12,0)+IF(AND(Assumptions!F24&lt;=30,Assumptions!F24&gt;0),Assumptions!I24*Assumptions!C37/12,0)+IF(AND(Assumptions!F25&lt;=30,Assumptions!F25&gt;0),Assumptions!I25*Assumptions!C37/12,0)+IF(AND(Assumptions!F26&lt;=30,Assumptions!F26&gt;0),Assumptions!I26*Assumptions!C37/12,0)+IF(AND(Assumptions!F27&lt;=30,Assumptions!F27&gt;0),Assumptions!I27*Assumptions!C37/12,0)+IF(AND(Assumptions!F28&lt;=30,Assumptions!F28&gt;0),Assumptions!I28*Assumptions!C37/12,0)+IF(AND(Assumptions!F29&lt;=30,Assumptions!F29&gt;0),Assumptions!I29*Assumptions!C37/12,0)</f>
        <v>0</v>
      </c>
      <c r="AI30" s="40">
        <f>IF(AND(Assumptions!F21&lt;=31,Assumptions!F21&gt;0),Assumptions!I21*Assumptions!C37/12,0)+IF(AND(Assumptions!F22&lt;=31,Assumptions!F22&gt;0),Assumptions!I22*Assumptions!C37/12,0)+IF(AND(Assumptions!F23&lt;=31,Assumptions!F23&gt;0),Assumptions!I23*Assumptions!C37/12,0)+IF(AND(Assumptions!F24&lt;=31,Assumptions!F24&gt;0),Assumptions!I24*Assumptions!C37/12,0)+IF(AND(Assumptions!F25&lt;=31,Assumptions!F25&gt;0),Assumptions!I25*Assumptions!C37/12,0)+IF(AND(Assumptions!F26&lt;=31,Assumptions!F26&gt;0),Assumptions!I26*Assumptions!C37/12,0)+IF(AND(Assumptions!F27&lt;=31,Assumptions!F27&gt;0),Assumptions!I27*Assumptions!C37/12,0)+IF(AND(Assumptions!F28&lt;=31,Assumptions!F28&gt;0),Assumptions!I28*Assumptions!C37/12,0)+IF(AND(Assumptions!F29&lt;=31,Assumptions!F29&gt;0),Assumptions!I29*Assumptions!C37/12,0)</f>
        <v>0</v>
      </c>
      <c r="AJ30" s="58">
        <f>IF(AND(Assumptions!F21&lt;=32,Assumptions!F21&gt;0),Assumptions!I21*Assumptions!C37/12,0)+IF(AND(Assumptions!F22&lt;=32,Assumptions!F22&gt;0),Assumptions!I22*Assumptions!C37/12,0)+IF(AND(Assumptions!F23&lt;=32,Assumptions!F23&gt;0),Assumptions!I23*Assumptions!C37/12,0)+IF(AND(Assumptions!F24&lt;=32,Assumptions!F24&gt;0),Assumptions!I24*Assumptions!C37/12,0)+IF(AND(Assumptions!F25&lt;=32,Assumptions!F25&gt;0),Assumptions!I25*Assumptions!C37/12,0)+IF(AND(Assumptions!F26&lt;=32,Assumptions!F26&gt;0),Assumptions!I26*Assumptions!C37/12,0)+IF(AND(Assumptions!F27&lt;=32,Assumptions!F27&gt;0),Assumptions!I27*Assumptions!C37/12,0)+IF(AND(Assumptions!F28&lt;=32,Assumptions!F28&gt;0),Assumptions!I28*Assumptions!C37/12,0)+IF(AND(Assumptions!F29&lt;=32,Assumptions!F29&gt;0),Assumptions!I29*Assumptions!C37/12,0)</f>
        <v>0</v>
      </c>
      <c r="AK30" s="40">
        <f>IF(AND(Assumptions!F21&lt;=33,Assumptions!F21&gt;0),Assumptions!I21*Assumptions!C37/12,0)+IF(AND(Assumptions!F22&lt;=33,Assumptions!F22&gt;0),Assumptions!I22*Assumptions!C37/12,0)+IF(AND(Assumptions!F23&lt;=33,Assumptions!F23&gt;0),Assumptions!I23*Assumptions!C37/12,0)+IF(AND(Assumptions!F24&lt;=33,Assumptions!F24&gt;0),Assumptions!I24*Assumptions!C37/12,0)+IF(AND(Assumptions!F25&lt;=33,Assumptions!F25&gt;0),Assumptions!I25*Assumptions!C37/12,0)+IF(AND(Assumptions!F26&lt;=33,Assumptions!F26&gt;0),Assumptions!I26*Assumptions!C37/12,0)+IF(AND(Assumptions!F27&lt;=33,Assumptions!F27&gt;0),Assumptions!I27*Assumptions!C37/12,0)+IF(AND(Assumptions!F28&lt;=33,Assumptions!F28&gt;0),Assumptions!I28*Assumptions!C37/12,0)+IF(AND(Assumptions!F29&lt;=33,Assumptions!F29&gt;0),Assumptions!I29*Assumptions!C37/12,0)</f>
        <v>0</v>
      </c>
      <c r="AL30" s="58">
        <f>IF(AND(Assumptions!F21&lt;=34,Assumptions!F21&gt;0),Assumptions!I21*Assumptions!C37/12,0)+IF(AND(Assumptions!F22&lt;=34,Assumptions!F22&gt;0),Assumptions!I22*Assumptions!C37/12,0)+IF(AND(Assumptions!F23&lt;=34,Assumptions!F23&gt;0),Assumptions!I23*Assumptions!C37/12,0)+IF(AND(Assumptions!F24&lt;=34,Assumptions!F24&gt;0),Assumptions!I24*Assumptions!C37/12,0)+IF(AND(Assumptions!F25&lt;=34,Assumptions!F25&gt;0),Assumptions!I25*Assumptions!C37/12,0)+IF(AND(Assumptions!F26&lt;=34,Assumptions!F26&gt;0),Assumptions!I26*Assumptions!C37/12,0)+IF(AND(Assumptions!F27&lt;=34,Assumptions!F27&gt;0),Assumptions!I27*Assumptions!C37/12,0)+IF(AND(Assumptions!F28&lt;=34,Assumptions!F28&gt;0),Assumptions!I28*Assumptions!C37/12,0)+IF(AND(Assumptions!F29&lt;=34,Assumptions!F29&gt;0),Assumptions!I29*Assumptions!C37/12,0)</f>
        <v>0</v>
      </c>
      <c r="AM30" s="40">
        <f>IF(AND(Assumptions!F21&lt;=35,Assumptions!F21&gt;0),Assumptions!I21*Assumptions!C37/12,0)+IF(AND(Assumptions!F22&lt;=35,Assumptions!F22&gt;0),Assumptions!I22*Assumptions!C37/12,0)+IF(AND(Assumptions!F23&lt;=35,Assumptions!F23&gt;0),Assumptions!I23*Assumptions!C37/12,0)+IF(AND(Assumptions!F24&lt;=35,Assumptions!F24&gt;0),Assumptions!I24*Assumptions!C37/12,0)+IF(AND(Assumptions!F25&lt;=35,Assumptions!F25&gt;0),Assumptions!I25*Assumptions!C37/12,0)+IF(AND(Assumptions!F26&lt;=35,Assumptions!F26&gt;0),Assumptions!I26*Assumptions!C37/12,0)+IF(AND(Assumptions!F27&lt;=35,Assumptions!F27&gt;0),Assumptions!I27*Assumptions!C37/12,0)+IF(AND(Assumptions!F28&lt;=35,Assumptions!F28&gt;0),Assumptions!I28*Assumptions!C37/12,0)+IF(AND(Assumptions!F29&lt;=35,Assumptions!F29&gt;0),Assumptions!I29*Assumptions!C37/12,0)</f>
        <v>0</v>
      </c>
      <c r="AN30" s="58">
        <f>IF(AND(Assumptions!F21&lt;=36,Assumptions!F21&gt;0),Assumptions!I21*Assumptions!C37/12,0)+IF(AND(Assumptions!F22&lt;=36,Assumptions!F22&gt;0),Assumptions!I22*Assumptions!C37/12,0)+IF(AND(Assumptions!F23&lt;=36,Assumptions!F23&gt;0),Assumptions!I23*Assumptions!C37/12,0)+IF(AND(Assumptions!F24&lt;=36,Assumptions!F24&gt;0),Assumptions!I24*Assumptions!C37/12,0)+IF(AND(Assumptions!F25&lt;=36,Assumptions!F25&gt;0),Assumptions!I25*Assumptions!C37/12,0)+IF(AND(Assumptions!F26&lt;=36,Assumptions!F26&gt;0),Assumptions!I26*Assumptions!C37/12,0)+IF(AND(Assumptions!F27&lt;=36,Assumptions!F27&gt;0),Assumptions!I27*Assumptions!C37/12,0)+IF(AND(Assumptions!F28&lt;=36,Assumptions!F28&gt;0),Assumptions!I28*Assumptions!C37/12,0)+IF(AND(Assumptions!F29&lt;=36,Assumptions!F29&gt;0),Assumptions!I29*Assumptions!C37/12,0)</f>
        <v>0</v>
      </c>
      <c r="AO30" s="59">
        <f t="shared" si="22"/>
        <v>0</v>
      </c>
      <c r="AP30" s="40">
        <f>IF(AND(Assumptions!F21&lt;=37,Assumptions!F21&gt;0),Assumptions!I21*Assumptions!C37/12,0)+IF(AND(Assumptions!F22&lt;=37,Assumptions!F22&gt;0),Assumptions!I22*Assumptions!C37/12,0)+IF(AND(Assumptions!F23&lt;=37,Assumptions!F23&gt;0),Assumptions!I23*Assumptions!C37/12,0)+IF(AND(Assumptions!F24&lt;=37,Assumptions!F24&gt;0),Assumptions!I24*Assumptions!C37/12,0)+IF(AND(Assumptions!F25&lt;=37,Assumptions!F25&gt;0),Assumptions!I25*Assumptions!C37/12,0)+IF(AND(Assumptions!F26&lt;=37,Assumptions!F26&gt;0),Assumptions!I26*Assumptions!C37/12,0)+IF(AND(Assumptions!F27&lt;=37,Assumptions!F27&gt;0),Assumptions!I27*Assumptions!C37/12,0)+IF(AND(Assumptions!F28&lt;=37,Assumptions!F28&gt;0),Assumptions!I28*Assumptions!C37/12,0)+IF(AND(Assumptions!F29&lt;=37,Assumptions!F29&gt;0),Assumptions!I29*Assumptions!C37/12,0)</f>
        <v>0</v>
      </c>
      <c r="AQ30" s="58">
        <f>IF(AND(Assumptions!F21&lt;=38,Assumptions!F21&gt;0),Assumptions!I21*Assumptions!C37/12,0)+IF(AND(Assumptions!F22&lt;=38,Assumptions!F22&gt;0),Assumptions!I22*Assumptions!C37/12,0)+IF(AND(Assumptions!F23&lt;=38,Assumptions!F23&gt;0),Assumptions!I23*Assumptions!C37/12,0)+IF(AND(Assumptions!F24&lt;=38,Assumptions!F24&gt;0),Assumptions!I24*Assumptions!C37/12,0)+IF(AND(Assumptions!F25&lt;=38,Assumptions!F25&gt;0),Assumptions!I25*Assumptions!C37/12,0)+IF(AND(Assumptions!F26&lt;=38,Assumptions!F26&gt;0),Assumptions!I26*Assumptions!C37/12,0)+IF(AND(Assumptions!F27&lt;=38,Assumptions!F27&gt;0),Assumptions!I27*Assumptions!C37/12,0)+IF(AND(Assumptions!F28&lt;=38,Assumptions!F28&gt;0),Assumptions!I28*Assumptions!C37/12,0)+IF(AND(Assumptions!F29&lt;=38,Assumptions!F29&gt;0),Assumptions!I29*Assumptions!C37/12,0)</f>
        <v>0</v>
      </c>
      <c r="AR30" s="40">
        <f>IF(AND(Assumptions!F21&lt;=39,Assumptions!F21&gt;0),Assumptions!I21*Assumptions!C37/12,0)+IF(AND(Assumptions!F22&lt;=39,Assumptions!F22&gt;0),Assumptions!I22*Assumptions!C37/12,0)+IF(AND(Assumptions!F23&lt;=39,Assumptions!F23&gt;0),Assumptions!I23*Assumptions!C37/12,0)+IF(AND(Assumptions!F24&lt;=39,Assumptions!F24&gt;0),Assumptions!I24*Assumptions!C37/12,0)+IF(AND(Assumptions!F25&lt;=39,Assumptions!F25&gt;0),Assumptions!I25*Assumptions!C37/12,0)+IF(AND(Assumptions!F26&lt;=39,Assumptions!F26&gt;0),Assumptions!I26*Assumptions!C37/12,0)+IF(AND(Assumptions!F27&lt;=39,Assumptions!F27&gt;0),Assumptions!I27*Assumptions!C37/12,0)+IF(AND(Assumptions!F28&lt;=39,Assumptions!F28&gt;0),Assumptions!I28*Assumptions!C37/12,0)+IF(AND(Assumptions!F29&lt;=39,Assumptions!F29&gt;0),Assumptions!I29*Assumptions!C37/12,0)</f>
        <v>0</v>
      </c>
      <c r="AS30" s="58">
        <f>IF(AND(Assumptions!F21&lt;=40,Assumptions!F21&gt;0),Assumptions!I21*Assumptions!C37/12,0)+IF(AND(Assumptions!F22&lt;=40,Assumptions!F22&gt;0),Assumptions!I22*Assumptions!C37/12,0)+IF(AND(Assumptions!F23&lt;=40,Assumptions!F23&gt;0),Assumptions!I23*Assumptions!C37/12,0)+IF(AND(Assumptions!F24&lt;=40,Assumptions!F24&gt;0),Assumptions!I24*Assumptions!C37/12,0)+IF(AND(Assumptions!F25&lt;=40,Assumptions!F25&gt;0),Assumptions!I25*Assumptions!C37/12,0)+IF(AND(Assumptions!F26&lt;=40,Assumptions!F26&gt;0),Assumptions!I26*Assumptions!C37/12,0)+IF(AND(Assumptions!F27&lt;=40,Assumptions!F27&gt;0),Assumptions!I27*Assumptions!C37/12,0)+IF(AND(Assumptions!F28&lt;=40,Assumptions!F28&gt;0),Assumptions!I28*Assumptions!C37/12,0)+IF(AND(Assumptions!F29&lt;=40,Assumptions!F29&gt;0),Assumptions!I29*Assumptions!C37/12,0)</f>
        <v>0</v>
      </c>
      <c r="AT30" s="40">
        <f>IF(AND(Assumptions!F21&lt;=41,Assumptions!F21&gt;0),Assumptions!I21*Assumptions!C37/12,0)+IF(AND(Assumptions!F22&lt;=41,Assumptions!F22&gt;0),Assumptions!I22*Assumptions!C37/12,0)+IF(AND(Assumptions!F23&lt;=41,Assumptions!F23&gt;0),Assumptions!I23*Assumptions!C37/12,0)+IF(AND(Assumptions!F24&lt;=41,Assumptions!F24&gt;0),Assumptions!I24*Assumptions!C37/12,0)+IF(AND(Assumptions!F25&lt;=41,Assumptions!F25&gt;0),Assumptions!I25*Assumptions!C37/12,0)+IF(AND(Assumptions!F26&lt;=41,Assumptions!F26&gt;0),Assumptions!I26*Assumptions!C37/12,0)+IF(AND(Assumptions!F27&lt;=41,Assumptions!F27&gt;0),Assumptions!I27*Assumptions!C37/12,0)+IF(AND(Assumptions!F28&lt;=41,Assumptions!F28&gt;0),Assumptions!I28*Assumptions!C37/12,0)+IF(AND(Assumptions!F29&lt;=41,Assumptions!F29&gt;0),Assumptions!I29*Assumptions!C37/12,0)</f>
        <v>0</v>
      </c>
      <c r="AU30" s="58">
        <f>IF(AND(Assumptions!F21&lt;=42,Assumptions!F21&gt;0),Assumptions!I21*Assumptions!C37/12,0)+IF(AND(Assumptions!F22&lt;=42,Assumptions!F22&gt;0),Assumptions!I22*Assumptions!C37/12,0)+IF(AND(Assumptions!F23&lt;=42,Assumptions!F23&gt;0),Assumptions!I23*Assumptions!C37/12,0)+IF(AND(Assumptions!F24&lt;=42,Assumptions!F24&gt;0),Assumptions!I24*Assumptions!C37/12,0)+IF(AND(Assumptions!F25&lt;=42,Assumptions!F25&gt;0),Assumptions!I25*Assumptions!C37/12,0)+IF(AND(Assumptions!F26&lt;=42,Assumptions!F26&gt;0),Assumptions!I26*Assumptions!C37/12,0)+IF(AND(Assumptions!F27&lt;=42,Assumptions!F27&gt;0),Assumptions!I27*Assumptions!C37/12,0)+IF(AND(Assumptions!F28&lt;=42,Assumptions!F28&gt;0),Assumptions!I28*Assumptions!C37/12,0)+IF(AND(Assumptions!F29&lt;=42,Assumptions!F29&gt;0),Assumptions!I29*Assumptions!C37/12,0)</f>
        <v>0</v>
      </c>
      <c r="AV30" s="40">
        <f>IF(AND(Assumptions!F21&lt;=43,Assumptions!F21&gt;0),Assumptions!I21*Assumptions!C37/12,0)+IF(AND(Assumptions!F22&lt;=43,Assumptions!F22&gt;0),Assumptions!I22*Assumptions!C37/12,0)+IF(AND(Assumptions!F23&lt;=43,Assumptions!F23&gt;0),Assumptions!I23*Assumptions!C37/12,0)+IF(AND(Assumptions!F24&lt;=43,Assumptions!F24&gt;0),Assumptions!I24*Assumptions!C37/12,0)+IF(AND(Assumptions!F25&lt;=43,Assumptions!F25&gt;0),Assumptions!I25*Assumptions!C37/12,0)+IF(AND(Assumptions!F26&lt;=43,Assumptions!F26&gt;0),Assumptions!I26*Assumptions!C37/12,0)+IF(AND(Assumptions!F27&lt;=43,Assumptions!F27&gt;0),Assumptions!I27*Assumptions!C37/12,0)+IF(AND(Assumptions!F28&lt;=43,Assumptions!F28&gt;0),Assumptions!I28*Assumptions!C37/12,0)+IF(AND(Assumptions!F29&lt;=43,Assumptions!F29&gt;0),Assumptions!I29*Assumptions!C37/12,0)</f>
        <v>0</v>
      </c>
      <c r="AW30" s="58">
        <f>IF(AND(Assumptions!F21&lt;=44,Assumptions!F21&gt;0),Assumptions!I21*Assumptions!C37/12,0)+IF(AND(Assumptions!F22&lt;=44,Assumptions!F22&gt;0),Assumptions!I22*Assumptions!C37/12,0)+IF(AND(Assumptions!F23&lt;=44,Assumptions!F23&gt;0),Assumptions!I23*Assumptions!C37/12,0)+IF(AND(Assumptions!F24&lt;=44,Assumptions!F24&gt;0),Assumptions!I24*Assumptions!C37/12,0)+IF(AND(Assumptions!F25&lt;=44,Assumptions!F25&gt;0),Assumptions!I25*Assumptions!C37/12,0)+IF(AND(Assumptions!F26&lt;=44,Assumptions!F26&gt;0),Assumptions!I26*Assumptions!C37/12,0)+IF(AND(Assumptions!F27&lt;=44,Assumptions!F27&gt;0),Assumptions!I27*Assumptions!C37/12,0)+IF(AND(Assumptions!F28&lt;=44,Assumptions!F28&gt;0),Assumptions!I28*Assumptions!C37/12,0)+IF(AND(Assumptions!F29&lt;=44,Assumptions!F29&gt;0),Assumptions!I29*Assumptions!C37/12,0)</f>
        <v>0</v>
      </c>
      <c r="AX30" s="40">
        <f>IF(AND(Assumptions!F21&lt;=45,Assumptions!F21&gt;0),Assumptions!I21*Assumptions!C37/12,0)+IF(AND(Assumptions!F22&lt;=45,Assumptions!F22&gt;0),Assumptions!I22*Assumptions!C37/12,0)+IF(AND(Assumptions!F23&lt;=45,Assumptions!F23&gt;0),Assumptions!I23*Assumptions!C37/12,0)+IF(AND(Assumptions!F24&lt;=45,Assumptions!F24&gt;0),Assumptions!I24*Assumptions!C37/12,0)+IF(AND(Assumptions!F25&lt;=45,Assumptions!F25&gt;0),Assumptions!I25*Assumptions!C37/12,0)+IF(AND(Assumptions!F26&lt;=45,Assumptions!F26&gt;0),Assumptions!I26*Assumptions!C37/12,0)+IF(AND(Assumptions!F27&lt;=45,Assumptions!F27&gt;0),Assumptions!I27*Assumptions!C37/12,0)+IF(AND(Assumptions!F28&lt;=45,Assumptions!F28&gt;0),Assumptions!I28*Assumptions!C37/12,0)+IF(AND(Assumptions!F29&lt;=45,Assumptions!F29&gt;0),Assumptions!I29*Assumptions!C37/12,0)</f>
        <v>0</v>
      </c>
      <c r="AY30" s="58">
        <f>IF(AND(Assumptions!F21&lt;=46,Assumptions!F21&gt;0),Assumptions!I21*Assumptions!C37/12,0)+IF(AND(Assumptions!F22&lt;=46,Assumptions!F22&gt;0),Assumptions!I22*Assumptions!C37/12,0)+IF(AND(Assumptions!F23&lt;=46,Assumptions!F23&gt;0),Assumptions!I23*Assumptions!C37/12,0)+IF(AND(Assumptions!F24&lt;=46,Assumptions!F24&gt;0),Assumptions!I24*Assumptions!C37/12,0)+IF(AND(Assumptions!F25&lt;=46,Assumptions!F25&gt;0),Assumptions!I25*Assumptions!C37/12,0)+IF(AND(Assumptions!F26&lt;=46,Assumptions!F26&gt;0),Assumptions!I26*Assumptions!C37/12,0)+IF(AND(Assumptions!F27&lt;=46,Assumptions!F27&gt;0),Assumptions!I27*Assumptions!C37/12,0)+IF(AND(Assumptions!F28&lt;=46,Assumptions!F28&gt;0),Assumptions!I28*Assumptions!C37/12,0)+IF(AND(Assumptions!F29&lt;=46,Assumptions!F29&gt;0),Assumptions!I29*Assumptions!C37/12,0)</f>
        <v>0</v>
      </c>
      <c r="AZ30" s="40">
        <f>IF(AND(Assumptions!F21&lt;=47,Assumptions!F21&gt;0),Assumptions!I21*Assumptions!C37/12,0)+IF(AND(Assumptions!F22&lt;=47,Assumptions!F22&gt;0),Assumptions!I22*Assumptions!C37/12,0)+IF(AND(Assumptions!F23&lt;=47,Assumptions!F23&gt;0),Assumptions!I23*Assumptions!C37/12,0)+IF(AND(Assumptions!F24&lt;=47,Assumptions!F24&gt;0),Assumptions!I24*Assumptions!C37/12,0)+IF(AND(Assumptions!F25&lt;=47,Assumptions!F25&gt;0),Assumptions!I25*Assumptions!C37/12,0)+IF(AND(Assumptions!F26&lt;=47,Assumptions!F26&gt;0),Assumptions!I26*Assumptions!C37/12,0)+IF(AND(Assumptions!F27&lt;=47,Assumptions!F27&gt;0),Assumptions!I27*Assumptions!C37/12,0)+IF(AND(Assumptions!F28&lt;=47,Assumptions!F28&gt;0),Assumptions!I28*Assumptions!C37/12,0)+IF(AND(Assumptions!F29&lt;=47,Assumptions!F29&gt;0),Assumptions!I29*Assumptions!C37/12,0)</f>
        <v>0</v>
      </c>
      <c r="BA30" s="58">
        <f>IF(AND(Assumptions!F21&lt;=48,Assumptions!F21&gt;0),Assumptions!I21*Assumptions!C37/12,0)+IF(AND(Assumptions!F22&lt;=48,Assumptions!F22&gt;0),Assumptions!I22*Assumptions!C37/12,0)+IF(AND(Assumptions!F23&lt;=48,Assumptions!F23&gt;0),Assumptions!I23*Assumptions!C37/12,0)+IF(AND(Assumptions!F24&lt;=48,Assumptions!F24&gt;0),Assumptions!I24*Assumptions!C37/12,0)+IF(AND(Assumptions!F25&lt;=48,Assumptions!F25&gt;0),Assumptions!I25*Assumptions!C37/12,0)+IF(AND(Assumptions!F26&lt;=48,Assumptions!F26&gt;0),Assumptions!I26*Assumptions!C37/12,0)+IF(AND(Assumptions!F27&lt;=48,Assumptions!F27&gt;0),Assumptions!I27*Assumptions!C37/12,0)+IF(AND(Assumptions!F28&lt;=48,Assumptions!F28&gt;0),Assumptions!I28*Assumptions!C37/12,0)+IF(AND(Assumptions!F29&lt;=48,Assumptions!F29&gt;0),Assumptions!I29*Assumptions!C37/12,0)</f>
        <v>0</v>
      </c>
      <c r="BB30" s="59">
        <f t="shared" si="23"/>
        <v>0</v>
      </c>
      <c r="BC30" s="40">
        <f>IF(AND(Assumptions!F21&lt;=49,Assumptions!F21&gt;0),Assumptions!I21*Assumptions!C37/12,0)+IF(AND(Assumptions!F22&lt;=49,Assumptions!F22&gt;0),Assumptions!I22*Assumptions!C37/12,0)+IF(AND(Assumptions!F23&lt;=49,Assumptions!F23&gt;0),Assumptions!I23*Assumptions!C37/12,0)+IF(AND(Assumptions!F24&lt;=49,Assumptions!F24&gt;0),Assumptions!I24*Assumptions!C37/12,0)+IF(AND(Assumptions!F25&lt;=49,Assumptions!F25&gt;0),Assumptions!I25*Assumptions!C37/12,0)+IF(AND(Assumptions!F26&lt;=49,Assumptions!F26&gt;0),Assumptions!I26*Assumptions!C37/12,0)+IF(AND(Assumptions!F27&lt;=49,Assumptions!F27&gt;0),Assumptions!I27*Assumptions!C37/12,0)+IF(AND(Assumptions!F28&lt;=49,Assumptions!F28&gt;0),Assumptions!I28*Assumptions!C37/12,0)+IF(AND(Assumptions!F29&lt;=49,Assumptions!F29&gt;0),Assumptions!I29*Assumptions!C37/12,0)</f>
        <v>0</v>
      </c>
      <c r="BD30" s="58">
        <f>IF(AND(Assumptions!F21&lt;=50,Assumptions!F21&gt;0),Assumptions!I21*Assumptions!C37/12,0)+IF(AND(Assumptions!F22&lt;=50,Assumptions!F22&gt;0),Assumptions!I22*Assumptions!C37/12,0)+IF(AND(Assumptions!F23&lt;=50,Assumptions!F23&gt;0),Assumptions!I23*Assumptions!C37/12,0)+IF(AND(Assumptions!F24&lt;=50,Assumptions!F24&gt;0),Assumptions!I24*Assumptions!C37/12,0)+IF(AND(Assumptions!F25&lt;=50,Assumptions!F25&gt;0),Assumptions!I25*Assumptions!C37/12,0)+IF(AND(Assumptions!F26&lt;=50,Assumptions!F26&gt;0),Assumptions!I26*Assumptions!C37/12,0)+IF(AND(Assumptions!F27&lt;=50,Assumptions!F27&gt;0),Assumptions!I27*Assumptions!C37/12,0)+IF(AND(Assumptions!F28&lt;=50,Assumptions!F28&gt;0),Assumptions!I28*Assumptions!C37/12,0)+IF(AND(Assumptions!F29&lt;=50,Assumptions!F29&gt;0),Assumptions!I29*Assumptions!C37/12,0)</f>
        <v>0</v>
      </c>
      <c r="BE30" s="40">
        <f>IF(AND(Assumptions!F21&lt;=51,Assumptions!F21&gt;0),Assumptions!I21*Assumptions!C37/12,0)+IF(AND(Assumptions!F22&lt;=51,Assumptions!F22&gt;0),Assumptions!I22*Assumptions!C37/12,0)+IF(AND(Assumptions!F23&lt;=51,Assumptions!F23&gt;0),Assumptions!I23*Assumptions!C37/12,0)+IF(AND(Assumptions!F24&lt;=51,Assumptions!F24&gt;0),Assumptions!I24*Assumptions!C37/12,0)+IF(AND(Assumptions!F25&lt;=51,Assumptions!F25&gt;0),Assumptions!I25*Assumptions!C37/12,0)+IF(AND(Assumptions!F26&lt;=51,Assumptions!F26&gt;0),Assumptions!I26*Assumptions!C37/12,0)+IF(AND(Assumptions!F27&lt;=51,Assumptions!F27&gt;0),Assumptions!I27*Assumptions!C37/12,0)+IF(AND(Assumptions!F28&lt;=51,Assumptions!F28&gt;0),Assumptions!I28*Assumptions!C37/12,0)+IF(AND(Assumptions!F29&lt;=51,Assumptions!F29&gt;0),Assumptions!I29*Assumptions!C37/12,0)</f>
        <v>0</v>
      </c>
      <c r="BF30" s="58">
        <f>IF(AND(Assumptions!F21&lt;=52,Assumptions!F21&gt;0),Assumptions!I21*Assumptions!C37/12,0)+IF(AND(Assumptions!F22&lt;=52,Assumptions!F22&gt;0),Assumptions!I22*Assumptions!C37/12,0)+IF(AND(Assumptions!F23&lt;=52,Assumptions!F23&gt;0),Assumptions!I23*Assumptions!C37/12,0)+IF(AND(Assumptions!F24&lt;=52,Assumptions!F24&gt;0),Assumptions!I24*Assumptions!C37/12,0)+IF(AND(Assumptions!F25&lt;=52,Assumptions!F25&gt;0),Assumptions!I25*Assumptions!C37/12,0)+IF(AND(Assumptions!F26&lt;=52,Assumptions!F26&gt;0),Assumptions!I26*Assumptions!C37/12,0)+IF(AND(Assumptions!F27&lt;=52,Assumptions!F27&gt;0),Assumptions!I27*Assumptions!C37/12,0)+IF(AND(Assumptions!F28&lt;=52,Assumptions!F28&gt;0),Assumptions!I28*Assumptions!C37/12,0)+IF(AND(Assumptions!F29&lt;=52,Assumptions!F29&gt;0),Assumptions!I29*Assumptions!C37/12,0)</f>
        <v>0</v>
      </c>
      <c r="BG30" s="40">
        <f>IF(AND(Assumptions!F21&lt;=53,Assumptions!F21&gt;0),Assumptions!I21*Assumptions!C37/12,0)+IF(AND(Assumptions!F22&lt;=53,Assumptions!F22&gt;0),Assumptions!I22*Assumptions!C37/12,0)+IF(AND(Assumptions!F23&lt;=53,Assumptions!F23&gt;0),Assumptions!I23*Assumptions!C37/12,0)+IF(AND(Assumptions!F24&lt;=53,Assumptions!F24&gt;0),Assumptions!I24*Assumptions!C37/12,0)+IF(AND(Assumptions!F25&lt;=53,Assumptions!F25&gt;0),Assumptions!I25*Assumptions!C37/12,0)+IF(AND(Assumptions!F26&lt;=53,Assumptions!F26&gt;0),Assumptions!I26*Assumptions!C37/12,0)+IF(AND(Assumptions!F27&lt;=53,Assumptions!F27&gt;0),Assumptions!I27*Assumptions!C37/12,0)+IF(AND(Assumptions!F28&lt;=53,Assumptions!F28&gt;0),Assumptions!I28*Assumptions!C37/12,0)+IF(AND(Assumptions!F29&lt;=53,Assumptions!F29&gt;0),Assumptions!I29*Assumptions!C37/12,0)</f>
        <v>0</v>
      </c>
      <c r="BH30" s="58">
        <f>IF(AND(Assumptions!F21&lt;=54,Assumptions!F21&gt;0),Assumptions!I21*Assumptions!C37/12,0)+IF(AND(Assumptions!F22&lt;=54,Assumptions!F22&gt;0),Assumptions!I22*Assumptions!C37/12,0)+IF(AND(Assumptions!F23&lt;=54,Assumptions!F23&gt;0),Assumptions!I23*Assumptions!C37/12,0)+IF(AND(Assumptions!F24&lt;=54,Assumptions!F24&gt;0),Assumptions!I24*Assumptions!C37/12,0)+IF(AND(Assumptions!F25&lt;=54,Assumptions!F25&gt;0),Assumptions!I25*Assumptions!C37/12,0)+IF(AND(Assumptions!F26&lt;=54,Assumptions!F26&gt;0),Assumptions!I26*Assumptions!C37/12,0)+IF(AND(Assumptions!F27&lt;=54,Assumptions!F27&gt;0),Assumptions!I27*Assumptions!C37/12,0)+IF(AND(Assumptions!F28&lt;=54,Assumptions!F28&gt;0),Assumptions!I28*Assumptions!C37/12,0)+IF(AND(Assumptions!F29&lt;=54,Assumptions!F29&gt;0),Assumptions!I29*Assumptions!C37/12,0)</f>
        <v>0</v>
      </c>
      <c r="BI30" s="40">
        <f>IF(AND(Assumptions!F21&lt;=55,Assumptions!F21&gt;0),Assumptions!I21*Assumptions!C37/12,0)+IF(AND(Assumptions!F22&lt;=55,Assumptions!F22&gt;0),Assumptions!I22*Assumptions!C37/12,0)+IF(AND(Assumptions!F23&lt;=55,Assumptions!F23&gt;0),Assumptions!I23*Assumptions!C37/12,0)+IF(AND(Assumptions!F24&lt;=55,Assumptions!F24&gt;0),Assumptions!I24*Assumptions!C37/12,0)+IF(AND(Assumptions!F25&lt;=55,Assumptions!F25&gt;0),Assumptions!I25*Assumptions!C37/12,0)+IF(AND(Assumptions!F26&lt;=55,Assumptions!F26&gt;0),Assumptions!I26*Assumptions!C37/12,0)+IF(AND(Assumptions!F27&lt;=55,Assumptions!F27&gt;0),Assumptions!I27*Assumptions!C37/12,0)+IF(AND(Assumptions!F28&lt;=55,Assumptions!F28&gt;0),Assumptions!I28*Assumptions!C37/12,0)+IF(AND(Assumptions!F29&lt;=55,Assumptions!F29&gt;0),Assumptions!I29*Assumptions!C37/12,0)</f>
        <v>0</v>
      </c>
      <c r="BJ30" s="58">
        <f>IF(AND(Assumptions!F21&lt;=56,Assumptions!F21&gt;0),Assumptions!I21*Assumptions!C37/12,0)+IF(AND(Assumptions!F22&lt;=56,Assumptions!F22&gt;0),Assumptions!I22*Assumptions!C37/12,0)+IF(AND(Assumptions!F23&lt;=56,Assumptions!F23&gt;0),Assumptions!I23*Assumptions!C37/12,0)+IF(AND(Assumptions!F24&lt;=56,Assumptions!F24&gt;0),Assumptions!I24*Assumptions!C37/12,0)+IF(AND(Assumptions!F25&lt;=56,Assumptions!F25&gt;0),Assumptions!I25*Assumptions!C37/12,0)+IF(AND(Assumptions!F26&lt;=56,Assumptions!F26&gt;0),Assumptions!I26*Assumptions!C37/12,0)+IF(AND(Assumptions!F27&lt;=56,Assumptions!F27&gt;0),Assumptions!I27*Assumptions!C37/12,0)+IF(AND(Assumptions!F28&lt;=56,Assumptions!F28&gt;0),Assumptions!I28*Assumptions!C37/12,0)+IF(AND(Assumptions!F29&lt;=56,Assumptions!F29&gt;0),Assumptions!I29*Assumptions!C37/12,0)</f>
        <v>0</v>
      </c>
      <c r="BK30" s="40">
        <f>IF(AND(Assumptions!F21&lt;=57,Assumptions!F21&gt;0),Assumptions!I21*Assumptions!C37/12,0)+IF(AND(Assumptions!F22&lt;=57,Assumptions!F22&gt;0),Assumptions!I22*Assumptions!C37/12,0)+IF(AND(Assumptions!F23&lt;=57,Assumptions!F23&gt;0),Assumptions!I23*Assumptions!C37/12,0)+IF(AND(Assumptions!F24&lt;=57,Assumptions!F24&gt;0),Assumptions!I24*Assumptions!C37/12,0)+IF(AND(Assumptions!F25&lt;=57,Assumptions!F25&gt;0),Assumptions!I25*Assumptions!C37/12,0)+IF(AND(Assumptions!F26&lt;=57,Assumptions!F26&gt;0),Assumptions!I26*Assumptions!C37/12,0)+IF(AND(Assumptions!F27&lt;=57,Assumptions!F27&gt;0),Assumptions!I27*Assumptions!C37/12,0)+IF(AND(Assumptions!F28&lt;=57,Assumptions!F28&gt;0),Assumptions!I28*Assumptions!C37/12,0)+IF(AND(Assumptions!F29&lt;=57,Assumptions!F29&gt;0),Assumptions!I29*Assumptions!C37/12,0)</f>
        <v>0</v>
      </c>
      <c r="BL30" s="58">
        <f>IF(AND(Assumptions!F21&lt;=58,Assumptions!F21&gt;0),Assumptions!I21*Assumptions!C37/12,0)+IF(AND(Assumptions!F22&lt;=58,Assumptions!F22&gt;0),Assumptions!I22*Assumptions!C37/12,0)+IF(AND(Assumptions!F23&lt;=58,Assumptions!F23&gt;0),Assumptions!I23*Assumptions!C37/12,0)+IF(AND(Assumptions!F24&lt;=58,Assumptions!F24&gt;0),Assumptions!I24*Assumptions!C37/12,0)+IF(AND(Assumptions!F25&lt;=58,Assumptions!F25&gt;0),Assumptions!I25*Assumptions!C37/12,0)+IF(AND(Assumptions!F26&lt;=58,Assumptions!F26&gt;0),Assumptions!I26*Assumptions!C37/12,0)+IF(AND(Assumptions!F27&lt;=58,Assumptions!F27&gt;0),Assumptions!I27*Assumptions!C37/12,0)+IF(AND(Assumptions!F28&lt;=58,Assumptions!F28&gt;0),Assumptions!I28*Assumptions!C37/12,0)+IF(AND(Assumptions!F29&lt;=58,Assumptions!F29&gt;0),Assumptions!I29*Assumptions!C37/12,0)</f>
        <v>0</v>
      </c>
      <c r="BM30" s="40">
        <f>IF(AND(Assumptions!F21&lt;=59,Assumptions!F21&gt;0),Assumptions!I21*Assumptions!C37/12,0)+IF(AND(Assumptions!F22&lt;=59,Assumptions!F22&gt;0),Assumptions!I22*Assumptions!C37/12,0)+IF(AND(Assumptions!F23&lt;=59,Assumptions!F23&gt;0),Assumptions!I23*Assumptions!C37/12,0)+IF(AND(Assumptions!F24&lt;=59,Assumptions!F24&gt;0),Assumptions!I24*Assumptions!C37/12,0)+IF(AND(Assumptions!F25&lt;=59,Assumptions!F25&gt;0),Assumptions!I25*Assumptions!C37/12,0)+IF(AND(Assumptions!F26&lt;=59,Assumptions!F26&gt;0),Assumptions!I26*Assumptions!C37/12,0)+IF(AND(Assumptions!F27&lt;=59,Assumptions!F27&gt;0),Assumptions!I27*Assumptions!C37/12,0)+IF(AND(Assumptions!F28&lt;=59,Assumptions!F28&gt;0),Assumptions!I28*Assumptions!C37/12,0)+IF(AND(Assumptions!F29&lt;=59,Assumptions!F29&gt;0),Assumptions!I29*Assumptions!C37/12,0)</f>
        <v>0</v>
      </c>
      <c r="BN30" s="58">
        <f>IF(AND(Assumptions!F21&lt;=60,Assumptions!F21&gt;0),Assumptions!I21*Assumptions!C37/12,0)+IF(AND(Assumptions!F22&lt;=60,Assumptions!F22&gt;0),Assumptions!I22*Assumptions!C37/12,0)+IF(AND(Assumptions!F23&lt;=60,Assumptions!F23&gt;0),Assumptions!I23*Assumptions!C37/12,0)+IF(AND(Assumptions!F24&lt;=60,Assumptions!F24&gt;0),Assumptions!I24*Assumptions!C37/12,0)+IF(AND(Assumptions!F25&lt;=60,Assumptions!F25&gt;0),Assumptions!I25*Assumptions!C37/12,0)+IF(AND(Assumptions!F26&lt;=60,Assumptions!F26&gt;0),Assumptions!I26*Assumptions!C37/12,0)+IF(AND(Assumptions!F27&lt;=60,Assumptions!F27&gt;0),Assumptions!I27*Assumptions!C37/12,0)+IF(AND(Assumptions!F28&lt;=60,Assumptions!F28&gt;0),Assumptions!I28*Assumptions!C37/12,0)+IF(AND(Assumptions!F29&lt;=60,Assumptions!F29&gt;0),Assumptions!I29*Assumptions!C37/12,0)</f>
        <v>0</v>
      </c>
      <c r="BO30" s="59">
        <f t="shared" si="24"/>
        <v>0</v>
      </c>
    </row>
    <row r="31" spans="2:67" x14ac:dyDescent="0.2">
      <c r="B31" s="74" t="s">
        <v>241</v>
      </c>
      <c r="C31" s="75">
        <f t="shared" ref="C31:N31" si="25">C26+C27+C29+C30</f>
        <v>13500</v>
      </c>
      <c r="D31" s="75">
        <f t="shared" si="25"/>
        <v>2000</v>
      </c>
      <c r="E31" s="75">
        <f t="shared" si="25"/>
        <v>8500</v>
      </c>
      <c r="F31" s="75">
        <f t="shared" si="25"/>
        <v>8500</v>
      </c>
      <c r="G31" s="75">
        <f t="shared" si="25"/>
        <v>8500</v>
      </c>
      <c r="H31" s="75">
        <f t="shared" si="25"/>
        <v>8500</v>
      </c>
      <c r="I31" s="75">
        <f t="shared" si="25"/>
        <v>8500</v>
      </c>
      <c r="J31" s="75">
        <f t="shared" si="25"/>
        <v>8500</v>
      </c>
      <c r="K31" s="75">
        <f t="shared" si="25"/>
        <v>8500</v>
      </c>
      <c r="L31" s="75">
        <f t="shared" si="25"/>
        <v>8500</v>
      </c>
      <c r="M31" s="75">
        <f t="shared" si="25"/>
        <v>8500</v>
      </c>
      <c r="N31" s="75">
        <f t="shared" si="25"/>
        <v>8500</v>
      </c>
      <c r="O31" s="76">
        <f t="shared" si="20"/>
        <v>100500</v>
      </c>
      <c r="P31" s="75">
        <f t="shared" ref="P31:AA31" si="26">P26+P27+P29+P30</f>
        <v>8500</v>
      </c>
      <c r="Q31" s="75">
        <f t="shared" si="26"/>
        <v>8500</v>
      </c>
      <c r="R31" s="75">
        <f t="shared" si="26"/>
        <v>8500</v>
      </c>
      <c r="S31" s="75">
        <f t="shared" si="26"/>
        <v>8500</v>
      </c>
      <c r="T31" s="75">
        <f t="shared" si="26"/>
        <v>8500</v>
      </c>
      <c r="U31" s="75">
        <f t="shared" si="26"/>
        <v>8500</v>
      </c>
      <c r="V31" s="75">
        <f t="shared" si="26"/>
        <v>8500</v>
      </c>
      <c r="W31" s="75">
        <f t="shared" si="26"/>
        <v>8500</v>
      </c>
      <c r="X31" s="75">
        <f t="shared" si="26"/>
        <v>8500</v>
      </c>
      <c r="Y31" s="75">
        <f t="shared" si="26"/>
        <v>8500</v>
      </c>
      <c r="Z31" s="75">
        <f t="shared" si="26"/>
        <v>8500</v>
      </c>
      <c r="AA31" s="75">
        <f t="shared" si="26"/>
        <v>8500</v>
      </c>
      <c r="AB31" s="76">
        <f t="shared" si="21"/>
        <v>102000</v>
      </c>
      <c r="AC31" s="75">
        <f t="shared" ref="AC31:AN31" si="27">AC26+AC27+AC29+AC30</f>
        <v>8500</v>
      </c>
      <c r="AD31" s="75">
        <f t="shared" si="27"/>
        <v>8500</v>
      </c>
      <c r="AE31" s="75">
        <f t="shared" si="27"/>
        <v>8500</v>
      </c>
      <c r="AF31" s="75">
        <f t="shared" si="27"/>
        <v>8500</v>
      </c>
      <c r="AG31" s="75">
        <f t="shared" si="27"/>
        <v>8500</v>
      </c>
      <c r="AH31" s="75">
        <f t="shared" si="27"/>
        <v>8500</v>
      </c>
      <c r="AI31" s="75">
        <f t="shared" si="27"/>
        <v>8500</v>
      </c>
      <c r="AJ31" s="75">
        <f t="shared" si="27"/>
        <v>8500</v>
      </c>
      <c r="AK31" s="75">
        <f t="shared" si="27"/>
        <v>8500</v>
      </c>
      <c r="AL31" s="75">
        <f t="shared" si="27"/>
        <v>8500</v>
      </c>
      <c r="AM31" s="75">
        <f t="shared" si="27"/>
        <v>8500</v>
      </c>
      <c r="AN31" s="75">
        <f t="shared" si="27"/>
        <v>8500</v>
      </c>
      <c r="AO31" s="76">
        <f t="shared" si="22"/>
        <v>102000</v>
      </c>
      <c r="AP31" s="75">
        <f t="shared" ref="AP31:BA31" si="28">AP26+AP27+AP29+AP30</f>
        <v>8500</v>
      </c>
      <c r="AQ31" s="75">
        <f t="shared" si="28"/>
        <v>8500</v>
      </c>
      <c r="AR31" s="75">
        <f t="shared" si="28"/>
        <v>8500</v>
      </c>
      <c r="AS31" s="75">
        <f t="shared" si="28"/>
        <v>8500</v>
      </c>
      <c r="AT31" s="75">
        <f t="shared" si="28"/>
        <v>8500</v>
      </c>
      <c r="AU31" s="75">
        <f t="shared" si="28"/>
        <v>8500</v>
      </c>
      <c r="AV31" s="75">
        <f t="shared" si="28"/>
        <v>8500</v>
      </c>
      <c r="AW31" s="75">
        <f t="shared" si="28"/>
        <v>8500</v>
      </c>
      <c r="AX31" s="75">
        <f t="shared" si="28"/>
        <v>8500</v>
      </c>
      <c r="AY31" s="75">
        <f t="shared" si="28"/>
        <v>8500</v>
      </c>
      <c r="AZ31" s="75">
        <f t="shared" si="28"/>
        <v>8500</v>
      </c>
      <c r="BA31" s="75">
        <f t="shared" si="28"/>
        <v>8500</v>
      </c>
      <c r="BB31" s="76">
        <f t="shared" si="23"/>
        <v>102000</v>
      </c>
      <c r="BC31" s="75">
        <f t="shared" ref="BC31:BN31" si="29">BC26+BC27+BC29+BC30</f>
        <v>8500</v>
      </c>
      <c r="BD31" s="75">
        <f t="shared" si="29"/>
        <v>8500</v>
      </c>
      <c r="BE31" s="75">
        <f t="shared" si="29"/>
        <v>8500</v>
      </c>
      <c r="BF31" s="75">
        <f t="shared" si="29"/>
        <v>8500</v>
      </c>
      <c r="BG31" s="75">
        <f t="shared" si="29"/>
        <v>8500</v>
      </c>
      <c r="BH31" s="75">
        <f t="shared" si="29"/>
        <v>8500</v>
      </c>
      <c r="BI31" s="75">
        <f t="shared" si="29"/>
        <v>8500</v>
      </c>
      <c r="BJ31" s="75">
        <f t="shared" si="29"/>
        <v>8500</v>
      </c>
      <c r="BK31" s="75">
        <f t="shared" si="29"/>
        <v>8500</v>
      </c>
      <c r="BL31" s="75">
        <f t="shared" si="29"/>
        <v>8500</v>
      </c>
      <c r="BM31" s="75">
        <f t="shared" si="29"/>
        <v>8500</v>
      </c>
      <c r="BN31" s="75">
        <f t="shared" si="29"/>
        <v>8500</v>
      </c>
      <c r="BO31" s="76">
        <f t="shared" si="24"/>
        <v>102000</v>
      </c>
    </row>
    <row r="33" spans="2:67" x14ac:dyDescent="0.2">
      <c r="B33" s="11" t="s">
        <v>242</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row>
    <row r="34" spans="2:67" x14ac:dyDescent="0.2">
      <c r="B34" s="47" t="s">
        <v>243</v>
      </c>
      <c r="C34" s="77">
        <f t="shared" ref="C34:N34" si="30">C22-C31</f>
        <v>-13500</v>
      </c>
      <c r="D34" s="78">
        <f t="shared" si="30"/>
        <v>-2000</v>
      </c>
      <c r="E34" s="77">
        <f t="shared" si="30"/>
        <v>-8500</v>
      </c>
      <c r="F34" s="78">
        <f t="shared" si="30"/>
        <v>-7289.402173913044</v>
      </c>
      <c r="G34" s="77">
        <f t="shared" si="30"/>
        <v>-6078.8043478260879</v>
      </c>
      <c r="H34" s="78">
        <f t="shared" si="30"/>
        <v>-4868.20652173913</v>
      </c>
      <c r="I34" s="77">
        <f t="shared" si="30"/>
        <v>-3657.6086956521749</v>
      </c>
      <c r="J34" s="78">
        <f t="shared" si="30"/>
        <v>-2447.010869565217</v>
      </c>
      <c r="K34" s="77">
        <f t="shared" si="30"/>
        <v>-1236.413043478261</v>
      </c>
      <c r="L34" s="78">
        <f t="shared" si="30"/>
        <v>-1236.413043478261</v>
      </c>
      <c r="M34" s="77">
        <f t="shared" si="30"/>
        <v>-1236.413043478261</v>
      </c>
      <c r="N34" s="78">
        <f t="shared" si="30"/>
        <v>-1236.413043478261</v>
      </c>
      <c r="O34" s="79">
        <f>SUM(C34:N34)</f>
        <v>-53286.684782608711</v>
      </c>
      <c r="P34" s="77">
        <f t="shared" ref="P34:AA34" si="31">P22-P31</f>
        <v>-1236.413043478261</v>
      </c>
      <c r="Q34" s="78">
        <f t="shared" si="31"/>
        <v>-1236.413043478261</v>
      </c>
      <c r="R34" s="77">
        <f t="shared" si="31"/>
        <v>-1236.413043478261</v>
      </c>
      <c r="S34" s="78">
        <f t="shared" si="31"/>
        <v>-162.93893684464638</v>
      </c>
      <c r="T34" s="77">
        <f t="shared" si="31"/>
        <v>910.53516978896914</v>
      </c>
      <c r="U34" s="78">
        <f t="shared" si="31"/>
        <v>1984.0092764225847</v>
      </c>
      <c r="V34" s="77">
        <f t="shared" si="31"/>
        <v>3057.4833830562002</v>
      </c>
      <c r="W34" s="78">
        <f t="shared" si="31"/>
        <v>4130.9574896898157</v>
      </c>
      <c r="X34" s="77">
        <f t="shared" si="31"/>
        <v>5204.4315963234312</v>
      </c>
      <c r="Y34" s="78">
        <f t="shared" si="31"/>
        <v>5204.4315963234312</v>
      </c>
      <c r="Z34" s="77">
        <f t="shared" si="31"/>
        <v>5204.4315963234312</v>
      </c>
      <c r="AA34" s="78">
        <f t="shared" si="31"/>
        <v>5204.4315963234312</v>
      </c>
      <c r="AB34" s="79">
        <f>SUM(P34:AA34)</f>
        <v>27028.533636971872</v>
      </c>
      <c r="AC34" s="77">
        <f t="shared" ref="AC34:AN34" si="32">AC22-AC31</f>
        <v>5204.4315963234312</v>
      </c>
      <c r="AD34" s="78">
        <f t="shared" si="32"/>
        <v>5204.4315963234312</v>
      </c>
      <c r="AE34" s="77">
        <f t="shared" si="32"/>
        <v>11667.475074584301</v>
      </c>
      <c r="AF34" s="78">
        <f t="shared" si="32"/>
        <v>6156.3139083358328</v>
      </c>
      <c r="AG34" s="77">
        <f t="shared" si="32"/>
        <v>7108.1962203482344</v>
      </c>
      <c r="AH34" s="78">
        <f t="shared" si="32"/>
        <v>8060.0785323606324</v>
      </c>
      <c r="AI34" s="77">
        <f t="shared" si="32"/>
        <v>9011.9608443730358</v>
      </c>
      <c r="AJ34" s="78">
        <f t="shared" si="32"/>
        <v>9963.8431563854356</v>
      </c>
      <c r="AK34" s="77">
        <f t="shared" si="32"/>
        <v>10915.725468397835</v>
      </c>
      <c r="AL34" s="78">
        <f t="shared" si="32"/>
        <v>10915.725468397835</v>
      </c>
      <c r="AM34" s="77">
        <f t="shared" si="32"/>
        <v>10915.725468397835</v>
      </c>
      <c r="AN34" s="78">
        <f t="shared" si="32"/>
        <v>10915.725468397835</v>
      </c>
      <c r="AO34" s="79">
        <f>SUM(AC34:AN34)</f>
        <v>106039.6328026257</v>
      </c>
      <c r="AP34" s="77">
        <f t="shared" ref="AP34:BA34" si="33">AP22-AP31</f>
        <v>10915.725468397835</v>
      </c>
      <c r="AQ34" s="78">
        <f t="shared" si="33"/>
        <v>10915.725468397835</v>
      </c>
      <c r="AR34" s="77">
        <f t="shared" si="33"/>
        <v>20610.290685789139</v>
      </c>
      <c r="AS34" s="78">
        <f t="shared" si="33"/>
        <v>11759.788618429018</v>
      </c>
      <c r="AT34" s="77">
        <f t="shared" si="33"/>
        <v>12603.851768460197</v>
      </c>
      <c r="AU34" s="78">
        <f t="shared" si="33"/>
        <v>13447.914918491373</v>
      </c>
      <c r="AV34" s="77">
        <f t="shared" si="33"/>
        <v>14291.978068522552</v>
      </c>
      <c r="AW34" s="78">
        <f t="shared" si="33"/>
        <v>15136.041218553732</v>
      </c>
      <c r="AX34" s="77">
        <f t="shared" si="33"/>
        <v>15980.104368584907</v>
      </c>
      <c r="AY34" s="78">
        <f t="shared" si="33"/>
        <v>15980.104368584907</v>
      </c>
      <c r="AZ34" s="77">
        <f t="shared" si="33"/>
        <v>15980.104368584907</v>
      </c>
      <c r="BA34" s="78">
        <f t="shared" si="33"/>
        <v>15980.104368584907</v>
      </c>
      <c r="BB34" s="79">
        <f>SUM(AP34:BA34)</f>
        <v>173601.7336893813</v>
      </c>
      <c r="BC34" s="77">
        <f t="shared" ref="BC34:BN34" si="34">BC22-BC31</f>
        <v>15980.104368584907</v>
      </c>
      <c r="BD34" s="78">
        <f t="shared" si="34"/>
        <v>15980.104368584907</v>
      </c>
      <c r="BE34" s="77">
        <f t="shared" si="34"/>
        <v>28906.191325106643</v>
      </c>
      <c r="BF34" s="78">
        <f t="shared" si="34"/>
        <v>16728.560971097417</v>
      </c>
      <c r="BG34" s="77">
        <f t="shared" si="34"/>
        <v>17477.01757360993</v>
      </c>
      <c r="BH34" s="78">
        <f t="shared" si="34"/>
        <v>18225.474176122436</v>
      </c>
      <c r="BI34" s="77">
        <f t="shared" si="34"/>
        <v>18973.930778634949</v>
      </c>
      <c r="BJ34" s="78">
        <f t="shared" si="34"/>
        <v>19722.387381147462</v>
      </c>
      <c r="BK34" s="77">
        <f t="shared" si="34"/>
        <v>20470.843983659968</v>
      </c>
      <c r="BL34" s="78">
        <f t="shared" si="34"/>
        <v>20470.843983659968</v>
      </c>
      <c r="BM34" s="77">
        <f t="shared" si="34"/>
        <v>20470.843983659968</v>
      </c>
      <c r="BN34" s="78">
        <f t="shared" si="34"/>
        <v>20470.843983659968</v>
      </c>
      <c r="BO34" s="79">
        <f>SUM(BC34:BN34)</f>
        <v>233877.14687752846</v>
      </c>
    </row>
    <row r="35" spans="2:67" x14ac:dyDescent="0.2">
      <c r="B35" s="51" t="s">
        <v>244</v>
      </c>
      <c r="C35" s="80">
        <f>C34</f>
        <v>-13500</v>
      </c>
      <c r="D35" s="81">
        <f t="shared" ref="D35:N35" si="35">C35+D34</f>
        <v>-15500</v>
      </c>
      <c r="E35" s="80">
        <f t="shared" si="35"/>
        <v>-24000</v>
      </c>
      <c r="F35" s="81">
        <f t="shared" si="35"/>
        <v>-31289.402173913044</v>
      </c>
      <c r="G35" s="80">
        <f t="shared" si="35"/>
        <v>-37368.206521739135</v>
      </c>
      <c r="H35" s="81">
        <f t="shared" si="35"/>
        <v>-42236.413043478264</v>
      </c>
      <c r="I35" s="80">
        <f t="shared" si="35"/>
        <v>-45894.02173913044</v>
      </c>
      <c r="J35" s="81">
        <f t="shared" si="35"/>
        <v>-48341.032608695656</v>
      </c>
      <c r="K35" s="80">
        <f t="shared" si="35"/>
        <v>-49577.445652173919</v>
      </c>
      <c r="L35" s="81">
        <f t="shared" si="35"/>
        <v>-50813.858695652183</v>
      </c>
      <c r="M35" s="80">
        <f t="shared" si="35"/>
        <v>-52050.271739130447</v>
      </c>
      <c r="N35" s="81">
        <f t="shared" si="35"/>
        <v>-53286.684782608711</v>
      </c>
      <c r="O35" s="79">
        <f>N35</f>
        <v>-53286.684782608711</v>
      </c>
      <c r="P35" s="80">
        <f>N35+P34</f>
        <v>-54523.097826086974</v>
      </c>
      <c r="Q35" s="81">
        <f t="shared" ref="Q35:AA35" si="36">P35+Q34</f>
        <v>-55759.510869565238</v>
      </c>
      <c r="R35" s="80">
        <f t="shared" si="36"/>
        <v>-56995.923913043502</v>
      </c>
      <c r="S35" s="81">
        <f t="shared" si="36"/>
        <v>-57158.862849888144</v>
      </c>
      <c r="T35" s="80">
        <f t="shared" si="36"/>
        <v>-56248.327680099173</v>
      </c>
      <c r="U35" s="81">
        <f t="shared" si="36"/>
        <v>-54264.318403676589</v>
      </c>
      <c r="V35" s="80">
        <f t="shared" si="36"/>
        <v>-51206.83502062039</v>
      </c>
      <c r="W35" s="81">
        <f t="shared" si="36"/>
        <v>-47075.877530930578</v>
      </c>
      <c r="X35" s="80">
        <f t="shared" si="36"/>
        <v>-41871.445934607145</v>
      </c>
      <c r="Y35" s="81">
        <f t="shared" si="36"/>
        <v>-36667.014338283712</v>
      </c>
      <c r="Z35" s="80">
        <f t="shared" si="36"/>
        <v>-31462.582741960279</v>
      </c>
      <c r="AA35" s="81">
        <f t="shared" si="36"/>
        <v>-26258.151145636846</v>
      </c>
      <c r="AB35" s="79">
        <f>AA35</f>
        <v>-26258.151145636846</v>
      </c>
      <c r="AC35" s="80">
        <f>AA35+AC34</f>
        <v>-21053.719549313413</v>
      </c>
      <c r="AD35" s="81">
        <f t="shared" ref="AD35:AN35" si="37">AC35+AD34</f>
        <v>-15849.287952989982</v>
      </c>
      <c r="AE35" s="80">
        <f t="shared" si="37"/>
        <v>-4181.8128784056807</v>
      </c>
      <c r="AF35" s="81">
        <f t="shared" si="37"/>
        <v>1974.5010299301521</v>
      </c>
      <c r="AG35" s="80">
        <f t="shared" si="37"/>
        <v>9082.6972502783865</v>
      </c>
      <c r="AH35" s="81">
        <f t="shared" si="37"/>
        <v>17142.775782639019</v>
      </c>
      <c r="AI35" s="80">
        <f t="shared" si="37"/>
        <v>26154.736627012055</v>
      </c>
      <c r="AJ35" s="81">
        <f t="shared" si="37"/>
        <v>36118.579783397494</v>
      </c>
      <c r="AK35" s="80">
        <f t="shared" si="37"/>
        <v>47034.305251795333</v>
      </c>
      <c r="AL35" s="81">
        <f t="shared" si="37"/>
        <v>57950.030720193172</v>
      </c>
      <c r="AM35" s="80">
        <f t="shared" si="37"/>
        <v>68865.756188591011</v>
      </c>
      <c r="AN35" s="81">
        <f t="shared" si="37"/>
        <v>79781.48165698885</v>
      </c>
      <c r="AO35" s="79">
        <f>AN35</f>
        <v>79781.48165698885</v>
      </c>
      <c r="AP35" s="80">
        <f>AN35+AP34</f>
        <v>90697.207125386689</v>
      </c>
      <c r="AQ35" s="81">
        <f t="shared" ref="AQ35:BA35" si="38">AP35+AQ34</f>
        <v>101612.93259378453</v>
      </c>
      <c r="AR35" s="80">
        <f t="shared" si="38"/>
        <v>122223.22327957366</v>
      </c>
      <c r="AS35" s="81">
        <f t="shared" si="38"/>
        <v>133983.01189800267</v>
      </c>
      <c r="AT35" s="80">
        <f t="shared" si="38"/>
        <v>146586.86366646289</v>
      </c>
      <c r="AU35" s="81">
        <f t="shared" si="38"/>
        <v>160034.77858495427</v>
      </c>
      <c r="AV35" s="80">
        <f t="shared" si="38"/>
        <v>174326.75665347683</v>
      </c>
      <c r="AW35" s="81">
        <f t="shared" si="38"/>
        <v>189462.79787203055</v>
      </c>
      <c r="AX35" s="80">
        <f t="shared" si="38"/>
        <v>205442.90224061545</v>
      </c>
      <c r="AY35" s="81">
        <f t="shared" si="38"/>
        <v>221423.00660920035</v>
      </c>
      <c r="AZ35" s="80">
        <f t="shared" si="38"/>
        <v>237403.11097778525</v>
      </c>
      <c r="BA35" s="81">
        <f t="shared" si="38"/>
        <v>253383.21534637015</v>
      </c>
      <c r="BB35" s="79">
        <f>BA35</f>
        <v>253383.21534637015</v>
      </c>
      <c r="BC35" s="80">
        <f>BA35+BC34</f>
        <v>269363.31971495505</v>
      </c>
      <c r="BD35" s="81">
        <f t="shared" ref="BD35:BN35" si="39">BC35+BD34</f>
        <v>285343.42408353998</v>
      </c>
      <c r="BE35" s="80">
        <f t="shared" si="39"/>
        <v>314249.61540864664</v>
      </c>
      <c r="BF35" s="81">
        <f t="shared" si="39"/>
        <v>330978.17637974408</v>
      </c>
      <c r="BG35" s="80">
        <f t="shared" si="39"/>
        <v>348455.19395335403</v>
      </c>
      <c r="BH35" s="81">
        <f t="shared" si="39"/>
        <v>366680.66812947649</v>
      </c>
      <c r="BI35" s="80">
        <f t="shared" si="39"/>
        <v>385654.59890811145</v>
      </c>
      <c r="BJ35" s="81">
        <f t="shared" si="39"/>
        <v>405376.98628925893</v>
      </c>
      <c r="BK35" s="80">
        <f t="shared" si="39"/>
        <v>425847.83027291892</v>
      </c>
      <c r="BL35" s="81">
        <f t="shared" si="39"/>
        <v>446318.6742565789</v>
      </c>
      <c r="BM35" s="80">
        <f t="shared" si="39"/>
        <v>466789.51824023889</v>
      </c>
      <c r="BN35" s="81">
        <f t="shared" si="39"/>
        <v>487260.36222389888</v>
      </c>
      <c r="BO35" s="79">
        <f>BN35</f>
        <v>487260.36222389888</v>
      </c>
    </row>
    <row r="37" spans="2:67" x14ac:dyDescent="0.2">
      <c r="B37" s="11" t="s">
        <v>245</v>
      </c>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row>
    <row r="38" spans="2:67" x14ac:dyDescent="0.2">
      <c r="B38" s="51" t="s">
        <v>246</v>
      </c>
      <c r="C38" s="82"/>
      <c r="D38" s="83"/>
      <c r="E38" s="82"/>
      <c r="F38" s="83"/>
      <c r="G38" s="82"/>
      <c r="H38" s="83"/>
      <c r="I38" s="82"/>
      <c r="J38" s="83"/>
      <c r="K38" s="82"/>
      <c r="L38" s="83"/>
      <c r="M38" s="82"/>
      <c r="N38" s="83"/>
      <c r="O38" s="59">
        <f>SUM(C20:N20)</f>
        <v>47213.315217391304</v>
      </c>
      <c r="P38" s="82"/>
      <c r="Q38" s="83"/>
      <c r="R38" s="82"/>
      <c r="S38" s="83"/>
      <c r="T38" s="82"/>
      <c r="U38" s="83"/>
      <c r="V38" s="82"/>
      <c r="W38" s="83"/>
      <c r="X38" s="82"/>
      <c r="Y38" s="83"/>
      <c r="Z38" s="82"/>
      <c r="AA38" s="83"/>
      <c r="AB38" s="59">
        <f>SUM(P20:AA20)</f>
        <v>129028.53363697184</v>
      </c>
      <c r="AC38" s="82"/>
      <c r="AD38" s="83"/>
      <c r="AE38" s="82"/>
      <c r="AF38" s="83"/>
      <c r="AG38" s="82"/>
      <c r="AH38" s="83"/>
      <c r="AI38" s="82"/>
      <c r="AJ38" s="83"/>
      <c r="AK38" s="82"/>
      <c r="AL38" s="83"/>
      <c r="AM38" s="82"/>
      <c r="AN38" s="83"/>
      <c r="AO38" s="59">
        <f>SUM(AC20:AN20)</f>
        <v>201576.58932436482</v>
      </c>
      <c r="AP38" s="82"/>
      <c r="AQ38" s="83"/>
      <c r="AR38" s="82"/>
      <c r="AS38" s="83"/>
      <c r="AT38" s="82"/>
      <c r="AU38" s="83"/>
      <c r="AV38" s="82"/>
      <c r="AW38" s="83"/>
      <c r="AX38" s="82"/>
      <c r="AY38" s="83"/>
      <c r="AZ38" s="82"/>
      <c r="BA38" s="83"/>
      <c r="BB38" s="59">
        <f>SUM(AP20:BA20)</f>
        <v>265907.16847198998</v>
      </c>
      <c r="BC38" s="82"/>
      <c r="BD38" s="83"/>
      <c r="BE38" s="82"/>
      <c r="BF38" s="83"/>
      <c r="BG38" s="82"/>
      <c r="BH38" s="83"/>
      <c r="BI38" s="82"/>
      <c r="BJ38" s="83"/>
      <c r="BK38" s="82"/>
      <c r="BL38" s="83"/>
      <c r="BM38" s="82"/>
      <c r="BN38" s="83"/>
      <c r="BO38" s="59">
        <f>SUM(BC20:BN20)</f>
        <v>322951.05992100679</v>
      </c>
    </row>
    <row r="39" spans="2:67" x14ac:dyDescent="0.2">
      <c r="B39" s="51" t="s">
        <v>247</v>
      </c>
      <c r="C39" s="82"/>
      <c r="D39" s="83"/>
      <c r="E39" s="82"/>
      <c r="F39" s="83"/>
      <c r="G39" s="82"/>
      <c r="H39" s="83"/>
      <c r="I39" s="82"/>
      <c r="J39" s="83"/>
      <c r="K39" s="82"/>
      <c r="L39" s="83"/>
      <c r="M39" s="82"/>
      <c r="N39" s="83"/>
      <c r="O39" s="59">
        <f>SUM(C21:N21)</f>
        <v>0</v>
      </c>
      <c r="P39" s="82"/>
      <c r="Q39" s="83"/>
      <c r="R39" s="82"/>
      <c r="S39" s="83"/>
      <c r="T39" s="82"/>
      <c r="U39" s="83"/>
      <c r="V39" s="82"/>
      <c r="W39" s="83"/>
      <c r="X39" s="82"/>
      <c r="Y39" s="83"/>
      <c r="Z39" s="82"/>
      <c r="AA39" s="83"/>
      <c r="AB39" s="59">
        <f>SUM(P21:AA21)</f>
        <v>0</v>
      </c>
      <c r="AC39" s="82"/>
      <c r="AD39" s="83"/>
      <c r="AE39" s="82"/>
      <c r="AF39" s="83"/>
      <c r="AG39" s="82"/>
      <c r="AH39" s="83"/>
      <c r="AI39" s="82"/>
      <c r="AJ39" s="83"/>
      <c r="AK39" s="82"/>
      <c r="AL39" s="83"/>
      <c r="AM39" s="82"/>
      <c r="AN39" s="83"/>
      <c r="AO39" s="59">
        <f>SUM(AC21:AN21)</f>
        <v>6463.0434782608691</v>
      </c>
      <c r="AP39" s="82"/>
      <c r="AQ39" s="83"/>
      <c r="AR39" s="82"/>
      <c r="AS39" s="83"/>
      <c r="AT39" s="82"/>
      <c r="AU39" s="83"/>
      <c r="AV39" s="82"/>
      <c r="AW39" s="83"/>
      <c r="AX39" s="82"/>
      <c r="AY39" s="83"/>
      <c r="AZ39" s="82"/>
      <c r="BA39" s="83"/>
      <c r="BB39" s="59">
        <f>SUM(AP21:BA21)</f>
        <v>9694.565217391304</v>
      </c>
      <c r="BC39" s="82"/>
      <c r="BD39" s="83"/>
      <c r="BE39" s="82"/>
      <c r="BF39" s="83"/>
      <c r="BG39" s="82"/>
      <c r="BH39" s="83"/>
      <c r="BI39" s="82"/>
      <c r="BJ39" s="83"/>
      <c r="BK39" s="82"/>
      <c r="BL39" s="83"/>
      <c r="BM39" s="82"/>
      <c r="BN39" s="83"/>
      <c r="BO39" s="59">
        <f>SUM(BC21:BN21)</f>
        <v>12926.086956521738</v>
      </c>
    </row>
    <row r="40" spans="2:67" x14ac:dyDescent="0.2">
      <c r="B40" s="51" t="s">
        <v>248</v>
      </c>
      <c r="C40" s="82"/>
      <c r="D40" s="83"/>
      <c r="E40" s="82"/>
      <c r="F40" s="83"/>
      <c r="G40" s="82"/>
      <c r="H40" s="83"/>
      <c r="I40" s="82"/>
      <c r="J40" s="83"/>
      <c r="K40" s="82"/>
      <c r="L40" s="83"/>
      <c r="M40" s="82"/>
      <c r="N40" s="83"/>
      <c r="O40" s="59">
        <f>SUM(C31:N31)</f>
        <v>100500</v>
      </c>
      <c r="P40" s="82"/>
      <c r="Q40" s="83"/>
      <c r="R40" s="82"/>
      <c r="S40" s="83"/>
      <c r="T40" s="82"/>
      <c r="U40" s="83"/>
      <c r="V40" s="82"/>
      <c r="W40" s="83"/>
      <c r="X40" s="82"/>
      <c r="Y40" s="83"/>
      <c r="Z40" s="82"/>
      <c r="AA40" s="83"/>
      <c r="AB40" s="59">
        <f>SUM(P31:AA31)</f>
        <v>102000</v>
      </c>
      <c r="AC40" s="82"/>
      <c r="AD40" s="83"/>
      <c r="AE40" s="82"/>
      <c r="AF40" s="83"/>
      <c r="AG40" s="82"/>
      <c r="AH40" s="83"/>
      <c r="AI40" s="82"/>
      <c r="AJ40" s="83"/>
      <c r="AK40" s="82"/>
      <c r="AL40" s="83"/>
      <c r="AM40" s="82"/>
      <c r="AN40" s="83"/>
      <c r="AO40" s="59">
        <f>SUM(AC31:AN31)</f>
        <v>102000</v>
      </c>
      <c r="AP40" s="82"/>
      <c r="AQ40" s="83"/>
      <c r="AR40" s="82"/>
      <c r="AS40" s="83"/>
      <c r="AT40" s="82"/>
      <c r="AU40" s="83"/>
      <c r="AV40" s="82"/>
      <c r="AW40" s="83"/>
      <c r="AX40" s="82"/>
      <c r="AY40" s="83"/>
      <c r="AZ40" s="82"/>
      <c r="BA40" s="83"/>
      <c r="BB40" s="59">
        <f>SUM(AP31:BA31)</f>
        <v>102000</v>
      </c>
      <c r="BC40" s="82"/>
      <c r="BD40" s="83"/>
      <c r="BE40" s="82"/>
      <c r="BF40" s="83"/>
      <c r="BG40" s="82"/>
      <c r="BH40" s="83"/>
      <c r="BI40" s="82"/>
      <c r="BJ40" s="83"/>
      <c r="BK40" s="82"/>
      <c r="BL40" s="83"/>
      <c r="BM40" s="82"/>
      <c r="BN40" s="83"/>
      <c r="BO40" s="59">
        <f>SUM(BC31:BN31)</f>
        <v>102000</v>
      </c>
    </row>
    <row r="41" spans="2:67" x14ac:dyDescent="0.2">
      <c r="B41" s="51" t="s">
        <v>249</v>
      </c>
      <c r="C41" s="82"/>
      <c r="D41" s="83"/>
      <c r="E41" s="82"/>
      <c r="F41" s="83"/>
      <c r="G41" s="82"/>
      <c r="H41" s="83"/>
      <c r="I41" s="82"/>
      <c r="J41" s="83"/>
      <c r="K41" s="82"/>
      <c r="L41" s="83"/>
      <c r="M41" s="82"/>
      <c r="N41" s="83"/>
      <c r="O41" s="59">
        <f>SUM(C28:N28)</f>
        <v>62500</v>
      </c>
      <c r="P41" s="82"/>
      <c r="Q41" s="83"/>
      <c r="R41" s="82"/>
      <c r="S41" s="83"/>
      <c r="T41" s="82"/>
      <c r="U41" s="83"/>
      <c r="V41" s="82"/>
      <c r="W41" s="83"/>
      <c r="X41" s="82"/>
      <c r="Y41" s="83"/>
      <c r="Z41" s="82"/>
      <c r="AA41" s="83"/>
      <c r="AB41" s="59">
        <f>SUM(P28:AA28)</f>
        <v>75000</v>
      </c>
      <c r="AC41" s="82"/>
      <c r="AD41" s="83"/>
      <c r="AE41" s="82"/>
      <c r="AF41" s="83"/>
      <c r="AG41" s="82"/>
      <c r="AH41" s="83"/>
      <c r="AI41" s="82"/>
      <c r="AJ41" s="83"/>
      <c r="AK41" s="82"/>
      <c r="AL41" s="83"/>
      <c r="AM41" s="82"/>
      <c r="AN41" s="83"/>
      <c r="AO41" s="59">
        <f>SUM(AC28:AN28)</f>
        <v>75000</v>
      </c>
      <c r="AP41" s="82"/>
      <c r="AQ41" s="83"/>
      <c r="AR41" s="82"/>
      <c r="AS41" s="83"/>
      <c r="AT41" s="82"/>
      <c r="AU41" s="83"/>
      <c r="AV41" s="82"/>
      <c r="AW41" s="83"/>
      <c r="AX41" s="82"/>
      <c r="AY41" s="83"/>
      <c r="AZ41" s="82"/>
      <c r="BA41" s="83"/>
      <c r="BB41" s="59">
        <f>SUM(AP28:BA28)</f>
        <v>75000</v>
      </c>
      <c r="BC41" s="82"/>
      <c r="BD41" s="83"/>
      <c r="BE41" s="82"/>
      <c r="BF41" s="83"/>
      <c r="BG41" s="82"/>
      <c r="BH41" s="83"/>
      <c r="BI41" s="82"/>
      <c r="BJ41" s="83"/>
      <c r="BK41" s="82"/>
      <c r="BL41" s="83"/>
      <c r="BM41" s="82"/>
      <c r="BN41" s="83"/>
      <c r="BO41" s="59">
        <f>SUM(BC28:BN28)</f>
        <v>75000</v>
      </c>
    </row>
    <row r="42" spans="2:67" x14ac:dyDescent="0.2">
      <c r="B42" s="84" t="s">
        <v>250</v>
      </c>
      <c r="C42" s="82"/>
      <c r="D42" s="83"/>
      <c r="E42" s="82"/>
      <c r="F42" s="83"/>
      <c r="G42" s="82"/>
      <c r="H42" s="83"/>
      <c r="I42" s="82"/>
      <c r="J42" s="83"/>
      <c r="K42" s="82"/>
      <c r="L42" s="83"/>
      <c r="M42" s="82"/>
      <c r="N42" s="83"/>
      <c r="O42" s="59">
        <f>MAX(0,O38-O40+O41)</f>
        <v>9213.315217391304</v>
      </c>
      <c r="P42" s="82"/>
      <c r="Q42" s="83"/>
      <c r="R42" s="82"/>
      <c r="S42" s="83"/>
      <c r="T42" s="82"/>
      <c r="U42" s="83"/>
      <c r="V42" s="82"/>
      <c r="W42" s="83"/>
      <c r="X42" s="82"/>
      <c r="Y42" s="83"/>
      <c r="Z42" s="82"/>
      <c r="AA42" s="83"/>
      <c r="AB42" s="59">
        <f>MAX(0,AB38-AB40+AB41)</f>
        <v>102028.53363697184</v>
      </c>
      <c r="AC42" s="82"/>
      <c r="AD42" s="83"/>
      <c r="AE42" s="82"/>
      <c r="AF42" s="83"/>
      <c r="AG42" s="82"/>
      <c r="AH42" s="83"/>
      <c r="AI42" s="82"/>
      <c r="AJ42" s="83"/>
      <c r="AK42" s="82"/>
      <c r="AL42" s="83"/>
      <c r="AM42" s="82"/>
      <c r="AN42" s="83"/>
      <c r="AO42" s="59">
        <f>MAX(0,AO38-AO40+AO41)</f>
        <v>174576.58932436482</v>
      </c>
      <c r="AP42" s="82"/>
      <c r="AQ42" s="83"/>
      <c r="AR42" s="82"/>
      <c r="AS42" s="83"/>
      <c r="AT42" s="82"/>
      <c r="AU42" s="83"/>
      <c r="AV42" s="82"/>
      <c r="AW42" s="83"/>
      <c r="AX42" s="82"/>
      <c r="AY42" s="83"/>
      <c r="AZ42" s="82"/>
      <c r="BA42" s="83"/>
      <c r="BB42" s="59">
        <f>MAX(0,BB38-BB40+BB41)</f>
        <v>238907.16847198998</v>
      </c>
      <c r="BC42" s="82"/>
      <c r="BD42" s="83"/>
      <c r="BE42" s="82"/>
      <c r="BF42" s="83"/>
      <c r="BG42" s="82"/>
      <c r="BH42" s="83"/>
      <c r="BI42" s="82"/>
      <c r="BJ42" s="83"/>
      <c r="BK42" s="82"/>
      <c r="BL42" s="83"/>
      <c r="BM42" s="82"/>
      <c r="BN42" s="83"/>
      <c r="BO42" s="59">
        <f>MAX(0,BO38-BO40+BO41)</f>
        <v>295951.05992100679</v>
      </c>
    </row>
    <row r="43" spans="2:67" x14ac:dyDescent="0.2">
      <c r="B43" s="65" t="s">
        <v>251</v>
      </c>
      <c r="C43" s="82"/>
      <c r="D43" s="83"/>
      <c r="E43" s="82"/>
      <c r="F43" s="83"/>
      <c r="G43" s="82"/>
      <c r="H43" s="83"/>
      <c r="I43" s="82"/>
      <c r="J43" s="83"/>
      <c r="K43" s="82"/>
      <c r="L43" s="83"/>
      <c r="M43" s="82"/>
      <c r="N43" s="83"/>
      <c r="O43" s="85">
        <f>MAX(0,O38+O39-O40+O41)</f>
        <v>9213.315217391304</v>
      </c>
      <c r="P43" s="82"/>
      <c r="Q43" s="83"/>
      <c r="R43" s="82"/>
      <c r="S43" s="83"/>
      <c r="T43" s="82"/>
      <c r="U43" s="83"/>
      <c r="V43" s="82"/>
      <c r="W43" s="83"/>
      <c r="X43" s="82"/>
      <c r="Y43" s="83"/>
      <c r="Z43" s="82"/>
      <c r="AA43" s="83"/>
      <c r="AB43" s="85">
        <f>MAX(0,AB38+AB39-AB40+AB41)</f>
        <v>102028.53363697184</v>
      </c>
      <c r="AC43" s="82"/>
      <c r="AD43" s="83"/>
      <c r="AE43" s="82"/>
      <c r="AF43" s="83"/>
      <c r="AG43" s="82"/>
      <c r="AH43" s="83"/>
      <c r="AI43" s="82"/>
      <c r="AJ43" s="83"/>
      <c r="AK43" s="82"/>
      <c r="AL43" s="83"/>
      <c r="AM43" s="82"/>
      <c r="AN43" s="83"/>
      <c r="AO43" s="85">
        <f>MAX(0,AO38+AO39-AO40+AO41)</f>
        <v>181039.63280262568</v>
      </c>
      <c r="AP43" s="82"/>
      <c r="AQ43" s="83"/>
      <c r="AR43" s="82"/>
      <c r="AS43" s="83"/>
      <c r="AT43" s="82"/>
      <c r="AU43" s="83"/>
      <c r="AV43" s="82"/>
      <c r="AW43" s="83"/>
      <c r="AX43" s="82"/>
      <c r="AY43" s="83"/>
      <c r="AZ43" s="82"/>
      <c r="BA43" s="83"/>
      <c r="BB43" s="85">
        <f>MAX(0,BB38+BB39-BB40+BB41)</f>
        <v>248601.73368938128</v>
      </c>
      <c r="BC43" s="82"/>
      <c r="BD43" s="83"/>
      <c r="BE43" s="82"/>
      <c r="BF43" s="83"/>
      <c r="BG43" s="82"/>
      <c r="BH43" s="83"/>
      <c r="BI43" s="82"/>
      <c r="BJ43" s="83"/>
      <c r="BK43" s="82"/>
      <c r="BL43" s="83"/>
      <c r="BM43" s="82"/>
      <c r="BN43" s="83"/>
      <c r="BO43" s="85">
        <f>MAX(0,BO38+BO39-BO40+BO41)</f>
        <v>308877.14687752852</v>
      </c>
    </row>
    <row r="45" spans="2:67" x14ac:dyDescent="0.2">
      <c r="B45" s="86" t="s">
        <v>252</v>
      </c>
      <c r="C45" s="82"/>
      <c r="D45" s="83"/>
      <c r="E45" s="82"/>
      <c r="F45" s="83"/>
      <c r="G45" s="82"/>
      <c r="H45" s="83"/>
      <c r="I45" s="82"/>
      <c r="J45" s="83"/>
      <c r="K45" s="82"/>
      <c r="L45" s="83"/>
      <c r="M45" s="82"/>
      <c r="N45" s="83"/>
      <c r="O45" s="87">
        <f>(O38+O39)*Assumptions!C86</f>
        <v>94426.630434782608</v>
      </c>
      <c r="P45" s="82"/>
      <c r="Q45" s="83"/>
      <c r="R45" s="82"/>
      <c r="S45" s="83"/>
      <c r="T45" s="82"/>
      <c r="U45" s="83"/>
      <c r="V45" s="82"/>
      <c r="W45" s="83"/>
      <c r="X45" s="82"/>
      <c r="Y45" s="83"/>
      <c r="Z45" s="82"/>
      <c r="AA45" s="83"/>
      <c r="AB45" s="87">
        <f>(AB38+AB39)*Assumptions!C86</f>
        <v>258057.06727394368</v>
      </c>
      <c r="AC45" s="82"/>
      <c r="AD45" s="83"/>
      <c r="AE45" s="82"/>
      <c r="AF45" s="83"/>
      <c r="AG45" s="82"/>
      <c r="AH45" s="83"/>
      <c r="AI45" s="82"/>
      <c r="AJ45" s="83"/>
      <c r="AK45" s="82"/>
      <c r="AL45" s="83"/>
      <c r="AM45" s="82"/>
      <c r="AN45" s="83"/>
      <c r="AO45" s="87">
        <f>(AO38+AO39)*Assumptions!C86</f>
        <v>416079.26560525136</v>
      </c>
      <c r="AP45" s="82"/>
      <c r="AQ45" s="83"/>
      <c r="AR45" s="82"/>
      <c r="AS45" s="83"/>
      <c r="AT45" s="82"/>
      <c r="AU45" s="83"/>
      <c r="AV45" s="82"/>
      <c r="AW45" s="83"/>
      <c r="AX45" s="82"/>
      <c r="AY45" s="83"/>
      <c r="AZ45" s="82"/>
      <c r="BA45" s="83"/>
      <c r="BB45" s="87">
        <f>(BB38+BB39)*Assumptions!C86</f>
        <v>551203.46737876255</v>
      </c>
      <c r="BC45" s="82"/>
      <c r="BD45" s="83"/>
      <c r="BE45" s="82"/>
      <c r="BF45" s="83"/>
      <c r="BG45" s="82"/>
      <c r="BH45" s="83"/>
      <c r="BI45" s="82"/>
      <c r="BJ45" s="83"/>
      <c r="BK45" s="82"/>
      <c r="BL45" s="83"/>
      <c r="BM45" s="82"/>
      <c r="BN45" s="83"/>
      <c r="BO45" s="87">
        <f>(BO38+BO39)*Assumptions!C86</f>
        <v>671754.29375505704</v>
      </c>
    </row>
    <row r="46" spans="2:67" x14ac:dyDescent="0.2">
      <c r="B46" s="86" t="s">
        <v>253</v>
      </c>
      <c r="C46" s="82"/>
      <c r="D46" s="83"/>
      <c r="E46" s="82"/>
      <c r="F46" s="83"/>
      <c r="G46" s="82"/>
      <c r="H46" s="83"/>
      <c r="I46" s="82"/>
      <c r="J46" s="83"/>
      <c r="K46" s="82"/>
      <c r="L46" s="83"/>
      <c r="M46" s="82"/>
      <c r="N46" s="83"/>
      <c r="O46" s="87">
        <f>O42*Assumptions!C87</f>
        <v>55279.891304347824</v>
      </c>
      <c r="P46" s="82"/>
      <c r="Q46" s="83"/>
      <c r="R46" s="82"/>
      <c r="S46" s="83"/>
      <c r="T46" s="82"/>
      <c r="U46" s="83"/>
      <c r="V46" s="82"/>
      <c r="W46" s="83"/>
      <c r="X46" s="82"/>
      <c r="Y46" s="83"/>
      <c r="Z46" s="82"/>
      <c r="AA46" s="83"/>
      <c r="AB46" s="87">
        <f>AB42*Assumptions!C87</f>
        <v>612171.20182183105</v>
      </c>
      <c r="AC46" s="82"/>
      <c r="AD46" s="83"/>
      <c r="AE46" s="82"/>
      <c r="AF46" s="83"/>
      <c r="AG46" s="82"/>
      <c r="AH46" s="83"/>
      <c r="AI46" s="82"/>
      <c r="AJ46" s="83"/>
      <c r="AK46" s="82"/>
      <c r="AL46" s="83"/>
      <c r="AM46" s="82"/>
      <c r="AN46" s="83"/>
      <c r="AO46" s="87">
        <f>AO42*Assumptions!C87</f>
        <v>1047459.535946189</v>
      </c>
      <c r="AP46" s="82"/>
      <c r="AQ46" s="83"/>
      <c r="AR46" s="82"/>
      <c r="AS46" s="83"/>
      <c r="AT46" s="82"/>
      <c r="AU46" s="83"/>
      <c r="AV46" s="82"/>
      <c r="AW46" s="83"/>
      <c r="AX46" s="82"/>
      <c r="AY46" s="83"/>
      <c r="AZ46" s="82"/>
      <c r="BA46" s="83"/>
      <c r="BB46" s="87">
        <f>BB42*Assumptions!C87</f>
        <v>1433443.01083194</v>
      </c>
      <c r="BC46" s="82"/>
      <c r="BD46" s="83"/>
      <c r="BE46" s="82"/>
      <c r="BF46" s="83"/>
      <c r="BG46" s="82"/>
      <c r="BH46" s="83"/>
      <c r="BI46" s="82"/>
      <c r="BJ46" s="83"/>
      <c r="BK46" s="82"/>
      <c r="BL46" s="83"/>
      <c r="BM46" s="82"/>
      <c r="BN46" s="83"/>
      <c r="BO46" s="87">
        <f>BO42*Assumptions!C87</f>
        <v>1775706.3595260407</v>
      </c>
    </row>
    <row r="47" spans="2:67" x14ac:dyDescent="0.2">
      <c r="B47" s="51" t="s">
        <v>254</v>
      </c>
      <c r="C47" s="82"/>
      <c r="D47" s="83"/>
      <c r="E47" s="82"/>
      <c r="F47" s="83"/>
      <c r="G47" s="82"/>
      <c r="H47" s="83"/>
      <c r="I47" s="82"/>
      <c r="J47" s="83"/>
      <c r="K47" s="82"/>
      <c r="L47" s="83"/>
      <c r="M47" s="82"/>
      <c r="N47" s="83"/>
      <c r="O47" s="50">
        <f>N10</f>
        <v>181.5</v>
      </c>
      <c r="P47" s="82"/>
      <c r="Q47" s="83"/>
      <c r="R47" s="82"/>
      <c r="S47" s="83"/>
      <c r="T47" s="82"/>
      <c r="U47" s="83"/>
      <c r="V47" s="82"/>
      <c r="W47" s="83"/>
      <c r="X47" s="82"/>
      <c r="Y47" s="83"/>
      <c r="Z47" s="82"/>
      <c r="AA47" s="83"/>
      <c r="AB47" s="50">
        <f>AA10</f>
        <v>445.5</v>
      </c>
      <c r="AC47" s="82"/>
      <c r="AD47" s="83"/>
      <c r="AE47" s="82"/>
      <c r="AF47" s="83"/>
      <c r="AG47" s="82"/>
      <c r="AH47" s="83"/>
      <c r="AI47" s="82"/>
      <c r="AJ47" s="83"/>
      <c r="AK47" s="82"/>
      <c r="AL47" s="83"/>
      <c r="AM47" s="82"/>
      <c r="AN47" s="83"/>
      <c r="AO47" s="50">
        <f>AN10</f>
        <v>679.5</v>
      </c>
      <c r="AP47" s="82"/>
      <c r="AQ47" s="83"/>
      <c r="AR47" s="82"/>
      <c r="AS47" s="83"/>
      <c r="AT47" s="82"/>
      <c r="AU47" s="83"/>
      <c r="AV47" s="82"/>
      <c r="AW47" s="83"/>
      <c r="AX47" s="82"/>
      <c r="AY47" s="83"/>
      <c r="AZ47" s="82"/>
      <c r="BA47" s="83"/>
      <c r="BB47" s="50">
        <f>BA10</f>
        <v>886.5</v>
      </c>
      <c r="BC47" s="82"/>
      <c r="BD47" s="83"/>
      <c r="BE47" s="82"/>
      <c r="BF47" s="83"/>
      <c r="BG47" s="82"/>
      <c r="BH47" s="83"/>
      <c r="BI47" s="82"/>
      <c r="BJ47" s="83"/>
      <c r="BK47" s="82"/>
      <c r="BL47" s="83"/>
      <c r="BM47" s="82"/>
      <c r="BN47" s="83"/>
      <c r="BO47" s="50">
        <f>BN10</f>
        <v>1070.5</v>
      </c>
    </row>
    <row r="48" spans="2:67" x14ac:dyDescent="0.2">
      <c r="B48" s="51" t="s">
        <v>255</v>
      </c>
      <c r="C48" s="82"/>
      <c r="D48" s="83"/>
      <c r="E48" s="82"/>
      <c r="F48" s="83"/>
      <c r="G48" s="82"/>
      <c r="H48" s="83"/>
      <c r="I48" s="82"/>
      <c r="J48" s="83"/>
      <c r="K48" s="82"/>
      <c r="L48" s="83"/>
      <c r="M48" s="82"/>
      <c r="N48" s="83"/>
      <c r="O48" s="59">
        <f>N15</f>
        <v>391014.13043478259</v>
      </c>
      <c r="P48" s="82"/>
      <c r="Q48" s="83"/>
      <c r="R48" s="82"/>
      <c r="S48" s="83"/>
      <c r="T48" s="82"/>
      <c r="U48" s="83"/>
      <c r="V48" s="82"/>
      <c r="W48" s="83"/>
      <c r="X48" s="82"/>
      <c r="Y48" s="83"/>
      <c r="Z48" s="82"/>
      <c r="AA48" s="83"/>
      <c r="AB48" s="59">
        <f>AA15</f>
        <v>959761.95652173914</v>
      </c>
      <c r="AC48" s="82"/>
      <c r="AD48" s="83"/>
      <c r="AE48" s="82"/>
      <c r="AF48" s="83"/>
      <c r="AG48" s="82"/>
      <c r="AH48" s="83"/>
      <c r="AI48" s="82"/>
      <c r="AJ48" s="83"/>
      <c r="AK48" s="82"/>
      <c r="AL48" s="83"/>
      <c r="AM48" s="82"/>
      <c r="AN48" s="83"/>
      <c r="AO48" s="59">
        <f>AN15</f>
        <v>1463879.3478260869</v>
      </c>
      <c r="AP48" s="82"/>
      <c r="AQ48" s="83"/>
      <c r="AR48" s="82"/>
      <c r="AS48" s="83"/>
      <c r="AT48" s="82"/>
      <c r="AU48" s="83"/>
      <c r="AV48" s="82"/>
      <c r="AW48" s="83"/>
      <c r="AX48" s="82"/>
      <c r="AY48" s="83"/>
      <c r="AZ48" s="82"/>
      <c r="BA48" s="83"/>
      <c r="BB48" s="59">
        <f>BA15</f>
        <v>1909829.3478260869</v>
      </c>
      <c r="BC48" s="82"/>
      <c r="BD48" s="83"/>
      <c r="BE48" s="82"/>
      <c r="BF48" s="83"/>
      <c r="BG48" s="82"/>
      <c r="BH48" s="83"/>
      <c r="BI48" s="82"/>
      <c r="BJ48" s="83"/>
      <c r="BK48" s="82"/>
      <c r="BL48" s="83"/>
      <c r="BM48" s="82"/>
      <c r="BN48" s="83"/>
      <c r="BO48" s="59">
        <f>BN15</f>
        <v>2306229.3478260869</v>
      </c>
    </row>
    <row r="49" spans="2:2" x14ac:dyDescent="0.2">
      <c r="B49" s="1" t="s">
        <v>256</v>
      </c>
    </row>
  </sheetData>
  <mergeCells count="7">
    <mergeCell ref="AP3:BB3"/>
    <mergeCell ref="BC3:BO3"/>
    <mergeCell ref="B1:H1"/>
    <mergeCell ref="B2:H2"/>
    <mergeCell ref="C3:O3"/>
    <mergeCell ref="P3:AB3"/>
    <mergeCell ref="AC3:AO3"/>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E44AD"/>
  </sheetPr>
  <dimension ref="B1:BO17"/>
  <sheetViews>
    <sheetView showGridLines="0" zoomScaleNormal="100" workbookViewId="0">
      <pane xSplit="2" ySplit="4" topLeftCell="C5" activePane="bottomRight" state="frozen"/>
      <selection pane="topRight" activeCell="C1" sqref="C1"/>
      <selection pane="bottomLeft" activeCell="A5" sqref="A5"/>
      <selection pane="bottomRight" activeCell="C17" sqref="C17"/>
    </sheetView>
  </sheetViews>
  <sheetFormatPr baseColWidth="10" defaultColWidth="8.6640625" defaultRowHeight="15" x14ac:dyDescent="0.2"/>
  <cols>
    <col min="1" max="1" width="3" customWidth="1"/>
    <col min="2" max="2" width="35" customWidth="1"/>
    <col min="3" max="14" width="11" customWidth="1"/>
    <col min="15" max="15" width="14" customWidth="1"/>
    <col min="16" max="27" width="11" customWidth="1"/>
    <col min="28" max="28" width="14" customWidth="1"/>
    <col min="29" max="40" width="11" customWidth="1"/>
    <col min="41" max="41" width="14" customWidth="1"/>
    <col min="42" max="53" width="11" customWidth="1"/>
    <col min="54" max="54" width="14" customWidth="1"/>
    <col min="55" max="66" width="11" customWidth="1"/>
    <col min="67" max="67" width="14" customWidth="1"/>
  </cols>
  <sheetData>
    <row r="1" spans="2:67" ht="30" customHeight="1" x14ac:dyDescent="0.25">
      <c r="B1" s="109" t="s">
        <v>257</v>
      </c>
      <c r="C1" s="109"/>
      <c r="D1" s="109"/>
      <c r="E1" s="109"/>
      <c r="F1" s="109"/>
      <c r="G1" s="109"/>
      <c r="H1" s="109"/>
    </row>
    <row r="2" spans="2:67" x14ac:dyDescent="0.2">
      <c r="B2" s="110" t="s">
        <v>258</v>
      </c>
      <c r="C2" s="110"/>
      <c r="D2" s="110"/>
      <c r="E2" s="110"/>
      <c r="F2" s="110"/>
      <c r="G2" s="110"/>
      <c r="H2" s="110"/>
    </row>
    <row r="3" spans="2:67" x14ac:dyDescent="0.2">
      <c r="B3" s="44"/>
      <c r="C3" s="108" t="s">
        <v>148</v>
      </c>
      <c r="D3" s="108"/>
      <c r="E3" s="108"/>
      <c r="F3" s="108"/>
      <c r="G3" s="108"/>
      <c r="H3" s="108"/>
      <c r="I3" s="108"/>
      <c r="J3" s="108"/>
      <c r="K3" s="108"/>
      <c r="L3" s="108"/>
      <c r="M3" s="108"/>
      <c r="N3" s="108"/>
      <c r="O3" s="108"/>
      <c r="P3" s="107" t="s">
        <v>149</v>
      </c>
      <c r="Q3" s="107"/>
      <c r="R3" s="107"/>
      <c r="S3" s="107"/>
      <c r="T3" s="107"/>
      <c r="U3" s="107"/>
      <c r="V3" s="107"/>
      <c r="W3" s="107"/>
      <c r="X3" s="107"/>
      <c r="Y3" s="107"/>
      <c r="Z3" s="107"/>
      <c r="AA3" s="107"/>
      <c r="AB3" s="107"/>
      <c r="AC3" s="108" t="s">
        <v>150</v>
      </c>
      <c r="AD3" s="108"/>
      <c r="AE3" s="108"/>
      <c r="AF3" s="108"/>
      <c r="AG3" s="108"/>
      <c r="AH3" s="108"/>
      <c r="AI3" s="108"/>
      <c r="AJ3" s="108"/>
      <c r="AK3" s="108"/>
      <c r="AL3" s="108"/>
      <c r="AM3" s="108"/>
      <c r="AN3" s="108"/>
      <c r="AO3" s="108"/>
      <c r="AP3" s="107" t="s">
        <v>151</v>
      </c>
      <c r="AQ3" s="107"/>
      <c r="AR3" s="107"/>
      <c r="AS3" s="107"/>
      <c r="AT3" s="107"/>
      <c r="AU3" s="107"/>
      <c r="AV3" s="107"/>
      <c r="AW3" s="107"/>
      <c r="AX3" s="107"/>
      <c r="AY3" s="107"/>
      <c r="AZ3" s="107"/>
      <c r="BA3" s="107"/>
      <c r="BB3" s="107"/>
      <c r="BC3" s="108" t="s">
        <v>152</v>
      </c>
      <c r="BD3" s="108"/>
      <c r="BE3" s="108"/>
      <c r="BF3" s="108"/>
      <c r="BG3" s="108"/>
      <c r="BH3" s="108"/>
      <c r="BI3" s="108"/>
      <c r="BJ3" s="108"/>
      <c r="BK3" s="108"/>
      <c r="BL3" s="108"/>
      <c r="BM3" s="108"/>
      <c r="BN3" s="108"/>
      <c r="BO3" s="108"/>
    </row>
    <row r="4" spans="2:67" ht="26" x14ac:dyDescent="0.2">
      <c r="B4" s="44"/>
      <c r="C4" s="45" t="s">
        <v>153</v>
      </c>
      <c r="D4" s="45" t="s">
        <v>154</v>
      </c>
      <c r="E4" s="45" t="s">
        <v>155</v>
      </c>
      <c r="F4" s="45" t="s">
        <v>156</v>
      </c>
      <c r="G4" s="45" t="s">
        <v>157</v>
      </c>
      <c r="H4" s="45" t="s">
        <v>158</v>
      </c>
      <c r="I4" s="45" t="s">
        <v>159</v>
      </c>
      <c r="J4" s="45" t="s">
        <v>160</v>
      </c>
      <c r="K4" s="45" t="s">
        <v>161</v>
      </c>
      <c r="L4" s="45" t="s">
        <v>162</v>
      </c>
      <c r="M4" s="45" t="s">
        <v>163</v>
      </c>
      <c r="N4" s="45" t="s">
        <v>164</v>
      </c>
      <c r="O4" s="46" t="s">
        <v>165</v>
      </c>
      <c r="P4" s="45" t="s">
        <v>166</v>
      </c>
      <c r="Q4" s="45" t="s">
        <v>167</v>
      </c>
      <c r="R4" s="45" t="s">
        <v>168</v>
      </c>
      <c r="S4" s="45" t="s">
        <v>169</v>
      </c>
      <c r="T4" s="45" t="s">
        <v>170</v>
      </c>
      <c r="U4" s="45" t="s">
        <v>171</v>
      </c>
      <c r="V4" s="45" t="s">
        <v>172</v>
      </c>
      <c r="W4" s="45" t="s">
        <v>173</v>
      </c>
      <c r="X4" s="45" t="s">
        <v>174</v>
      </c>
      <c r="Y4" s="45" t="s">
        <v>175</v>
      </c>
      <c r="Z4" s="45" t="s">
        <v>176</v>
      </c>
      <c r="AA4" s="45" t="s">
        <v>177</v>
      </c>
      <c r="AB4" s="46" t="s">
        <v>178</v>
      </c>
      <c r="AC4" s="45" t="s">
        <v>179</v>
      </c>
      <c r="AD4" s="45" t="s">
        <v>180</v>
      </c>
      <c r="AE4" s="45" t="s">
        <v>181</v>
      </c>
      <c r="AF4" s="45" t="s">
        <v>182</v>
      </c>
      <c r="AG4" s="45" t="s">
        <v>183</v>
      </c>
      <c r="AH4" s="45" t="s">
        <v>184</v>
      </c>
      <c r="AI4" s="45" t="s">
        <v>185</v>
      </c>
      <c r="AJ4" s="45" t="s">
        <v>186</v>
      </c>
      <c r="AK4" s="45" t="s">
        <v>187</v>
      </c>
      <c r="AL4" s="45" t="s">
        <v>188</v>
      </c>
      <c r="AM4" s="45" t="s">
        <v>189</v>
      </c>
      <c r="AN4" s="45" t="s">
        <v>190</v>
      </c>
      <c r="AO4" s="46" t="s">
        <v>191</v>
      </c>
      <c r="AP4" s="45" t="s">
        <v>192</v>
      </c>
      <c r="AQ4" s="45" t="s">
        <v>193</v>
      </c>
      <c r="AR4" s="45" t="s">
        <v>194</v>
      </c>
      <c r="AS4" s="45" t="s">
        <v>195</v>
      </c>
      <c r="AT4" s="45" t="s">
        <v>196</v>
      </c>
      <c r="AU4" s="45" t="s">
        <v>197</v>
      </c>
      <c r="AV4" s="45" t="s">
        <v>198</v>
      </c>
      <c r="AW4" s="45" t="s">
        <v>199</v>
      </c>
      <c r="AX4" s="45" t="s">
        <v>200</v>
      </c>
      <c r="AY4" s="45" t="s">
        <v>201</v>
      </c>
      <c r="AZ4" s="45" t="s">
        <v>202</v>
      </c>
      <c r="BA4" s="45" t="s">
        <v>203</v>
      </c>
      <c r="BB4" s="46" t="s">
        <v>204</v>
      </c>
      <c r="BC4" s="45" t="s">
        <v>205</v>
      </c>
      <c r="BD4" s="45" t="s">
        <v>206</v>
      </c>
      <c r="BE4" s="45" t="s">
        <v>207</v>
      </c>
      <c r="BF4" s="45" t="s">
        <v>208</v>
      </c>
      <c r="BG4" s="45" t="s">
        <v>209</v>
      </c>
      <c r="BH4" s="45" t="s">
        <v>210</v>
      </c>
      <c r="BI4" s="45" t="s">
        <v>211</v>
      </c>
      <c r="BJ4" s="45" t="s">
        <v>212</v>
      </c>
      <c r="BK4" s="45" t="s">
        <v>213</v>
      </c>
      <c r="BL4" s="45" t="s">
        <v>214</v>
      </c>
      <c r="BM4" s="45" t="s">
        <v>215</v>
      </c>
      <c r="BN4" s="45" t="s">
        <v>216</v>
      </c>
      <c r="BO4" s="46" t="s">
        <v>217</v>
      </c>
    </row>
    <row r="5" spans="2:67" x14ac:dyDescent="0.2">
      <c r="B5" s="11" t="s">
        <v>259</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row>
    <row r="6" spans="2:67" x14ac:dyDescent="0.2">
      <c r="B6" s="84" t="s">
        <v>260</v>
      </c>
      <c r="C6" s="88">
        <f>Assumptions!C6</f>
        <v>65000</v>
      </c>
      <c r="D6" s="89">
        <f t="shared" ref="D6:N6" si="0">C15</f>
        <v>51500</v>
      </c>
      <c r="E6" s="88">
        <f t="shared" si="0"/>
        <v>49500</v>
      </c>
      <c r="F6" s="89">
        <f t="shared" si="0"/>
        <v>41000</v>
      </c>
      <c r="G6" s="88">
        <f t="shared" si="0"/>
        <v>33710.59782608696</v>
      </c>
      <c r="H6" s="89">
        <f t="shared" si="0"/>
        <v>27631.793478260872</v>
      </c>
      <c r="I6" s="88">
        <f t="shared" si="0"/>
        <v>22763.586956521744</v>
      </c>
      <c r="J6" s="89">
        <f t="shared" si="0"/>
        <v>19105.978260869568</v>
      </c>
      <c r="K6" s="88">
        <f t="shared" si="0"/>
        <v>16658.967391304352</v>
      </c>
      <c r="L6" s="89">
        <f t="shared" si="0"/>
        <v>15422.554347826092</v>
      </c>
      <c r="M6" s="88">
        <f t="shared" si="0"/>
        <v>14186.141304347831</v>
      </c>
      <c r="N6" s="89">
        <f t="shared" si="0"/>
        <v>12949.728260869571</v>
      </c>
      <c r="O6" s="90">
        <f>C6</f>
        <v>65000</v>
      </c>
      <c r="P6" s="88">
        <f>N15</f>
        <v>11713.315217391311</v>
      </c>
      <c r="Q6" s="89">
        <f t="shared" ref="Q6:AA6" si="1">P15</f>
        <v>10476.902173913051</v>
      </c>
      <c r="R6" s="88">
        <f t="shared" si="1"/>
        <v>9240.4891304347912</v>
      </c>
      <c r="S6" s="89">
        <f t="shared" si="1"/>
        <v>8004.0760869565302</v>
      </c>
      <c r="T6" s="88">
        <f t="shared" si="1"/>
        <v>7841.1371501118838</v>
      </c>
      <c r="U6" s="89">
        <f t="shared" si="1"/>
        <v>8751.672319900852</v>
      </c>
      <c r="V6" s="88">
        <f t="shared" si="1"/>
        <v>10735.681596323437</v>
      </c>
      <c r="W6" s="89">
        <f t="shared" si="1"/>
        <v>13793.164979379637</v>
      </c>
      <c r="X6" s="88">
        <f t="shared" si="1"/>
        <v>17924.122469069451</v>
      </c>
      <c r="Y6" s="89">
        <f t="shared" si="1"/>
        <v>23128.554065392884</v>
      </c>
      <c r="Z6" s="88">
        <f t="shared" si="1"/>
        <v>28332.985661716317</v>
      </c>
      <c r="AA6" s="89">
        <f t="shared" si="1"/>
        <v>33537.41725803975</v>
      </c>
      <c r="AB6" s="90">
        <f>P6</f>
        <v>11713.315217391311</v>
      </c>
      <c r="AC6" s="88">
        <f>AA15</f>
        <v>38741.848854363183</v>
      </c>
      <c r="AD6" s="89">
        <f t="shared" ref="AD6:AN6" si="2">AC15</f>
        <v>43946.280450686616</v>
      </c>
      <c r="AE6" s="88">
        <f t="shared" si="2"/>
        <v>49150.712047010049</v>
      </c>
      <c r="AF6" s="89">
        <f t="shared" si="2"/>
        <v>60818.187121594354</v>
      </c>
      <c r="AG6" s="88">
        <f t="shared" si="2"/>
        <v>66974.501029930194</v>
      </c>
      <c r="AH6" s="89">
        <f t="shared" si="2"/>
        <v>74082.697250278434</v>
      </c>
      <c r="AI6" s="88">
        <f t="shared" si="2"/>
        <v>82142.775782639073</v>
      </c>
      <c r="AJ6" s="89">
        <f t="shared" si="2"/>
        <v>91154.736627012113</v>
      </c>
      <c r="AK6" s="88">
        <f t="shared" si="2"/>
        <v>101118.57978339755</v>
      </c>
      <c r="AL6" s="89">
        <f t="shared" si="2"/>
        <v>112034.30525179539</v>
      </c>
      <c r="AM6" s="88">
        <f t="shared" si="2"/>
        <v>122950.03072019323</v>
      </c>
      <c r="AN6" s="89">
        <f t="shared" si="2"/>
        <v>133865.75618859107</v>
      </c>
      <c r="AO6" s="90">
        <f>AC6</f>
        <v>38741.848854363183</v>
      </c>
      <c r="AP6" s="88">
        <f>AN15</f>
        <v>144781.48165698891</v>
      </c>
      <c r="AQ6" s="89">
        <f t="shared" ref="AQ6:BA6" si="3">AP15</f>
        <v>155697.20712538675</v>
      </c>
      <c r="AR6" s="88">
        <f t="shared" si="3"/>
        <v>166612.93259378459</v>
      </c>
      <c r="AS6" s="89">
        <f t="shared" si="3"/>
        <v>187223.22327957372</v>
      </c>
      <c r="AT6" s="88">
        <f t="shared" si="3"/>
        <v>198983.01189800273</v>
      </c>
      <c r="AU6" s="89">
        <f t="shared" si="3"/>
        <v>211586.86366646294</v>
      </c>
      <c r="AV6" s="88">
        <f t="shared" si="3"/>
        <v>225034.77858495433</v>
      </c>
      <c r="AW6" s="89">
        <f t="shared" si="3"/>
        <v>239326.75665347688</v>
      </c>
      <c r="AX6" s="88">
        <f t="shared" si="3"/>
        <v>254462.79787203061</v>
      </c>
      <c r="AY6" s="89">
        <f t="shared" si="3"/>
        <v>270442.90224061551</v>
      </c>
      <c r="AZ6" s="88">
        <f t="shared" si="3"/>
        <v>286423.00660920044</v>
      </c>
      <c r="BA6" s="89">
        <f t="shared" si="3"/>
        <v>302403.11097778537</v>
      </c>
      <c r="BB6" s="90">
        <f>AP6</f>
        <v>144781.48165698891</v>
      </c>
      <c r="BC6" s="88">
        <f>BA15</f>
        <v>318383.2153463703</v>
      </c>
      <c r="BD6" s="89">
        <f t="shared" ref="BD6:BN6" si="4">BC15</f>
        <v>334363.31971495523</v>
      </c>
      <c r="BE6" s="88">
        <f t="shared" si="4"/>
        <v>350343.42408354016</v>
      </c>
      <c r="BF6" s="89">
        <f t="shared" si="4"/>
        <v>379249.61540864682</v>
      </c>
      <c r="BG6" s="88">
        <f t="shared" si="4"/>
        <v>395978.17637974425</v>
      </c>
      <c r="BH6" s="89">
        <f t="shared" si="4"/>
        <v>413455.1939533542</v>
      </c>
      <c r="BI6" s="88">
        <f t="shared" si="4"/>
        <v>431680.66812947666</v>
      </c>
      <c r="BJ6" s="89">
        <f t="shared" si="4"/>
        <v>450654.59890811163</v>
      </c>
      <c r="BK6" s="88">
        <f t="shared" si="4"/>
        <v>470376.9862892591</v>
      </c>
      <c r="BL6" s="89">
        <f t="shared" si="4"/>
        <v>490847.83027291909</v>
      </c>
      <c r="BM6" s="88">
        <f t="shared" si="4"/>
        <v>511318.67425657908</v>
      </c>
      <c r="BN6" s="89">
        <f t="shared" si="4"/>
        <v>531789.51824023901</v>
      </c>
      <c r="BO6" s="90">
        <f>BC6</f>
        <v>318383.2153463703</v>
      </c>
    </row>
    <row r="7" spans="2:67" x14ac:dyDescent="0.2">
      <c r="B7" s="11" t="s">
        <v>261</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row>
    <row r="8" spans="2:67" x14ac:dyDescent="0.2">
      <c r="B8" s="51" t="s">
        <v>262</v>
      </c>
      <c r="C8" s="91">
        <f>'Pro-Forma'!C20</f>
        <v>0</v>
      </c>
      <c r="D8" s="92">
        <f>'Pro-Forma'!D20</f>
        <v>0</v>
      </c>
      <c r="E8" s="91">
        <f>'Pro-Forma'!E20</f>
        <v>0</v>
      </c>
      <c r="F8" s="92">
        <f>'Pro-Forma'!F20</f>
        <v>1210.5978260869563</v>
      </c>
      <c r="G8" s="91">
        <f>'Pro-Forma'!G20</f>
        <v>2421.1956521739125</v>
      </c>
      <c r="H8" s="92">
        <f>'Pro-Forma'!H20</f>
        <v>3631.7934782608695</v>
      </c>
      <c r="I8" s="91">
        <f>'Pro-Forma'!I20</f>
        <v>4842.3913043478251</v>
      </c>
      <c r="J8" s="92">
        <f>'Pro-Forma'!J20</f>
        <v>6052.989130434783</v>
      </c>
      <c r="K8" s="91">
        <f>'Pro-Forma'!K20</f>
        <v>7263.586956521739</v>
      </c>
      <c r="L8" s="92">
        <f>'Pro-Forma'!L20</f>
        <v>7263.586956521739</v>
      </c>
      <c r="M8" s="91">
        <f>'Pro-Forma'!M20</f>
        <v>7263.586956521739</v>
      </c>
      <c r="N8" s="92">
        <f>'Pro-Forma'!N20</f>
        <v>7263.586956521739</v>
      </c>
      <c r="O8" s="93">
        <f>SUM(C8:N8)</f>
        <v>47213.315217391304</v>
      </c>
      <c r="P8" s="91">
        <f>'Pro-Forma'!P20</f>
        <v>7263.586956521739</v>
      </c>
      <c r="Q8" s="92">
        <f>'Pro-Forma'!Q20</f>
        <v>7263.586956521739</v>
      </c>
      <c r="R8" s="91">
        <f>'Pro-Forma'!R20</f>
        <v>7263.586956521739</v>
      </c>
      <c r="S8" s="92">
        <f>'Pro-Forma'!S20</f>
        <v>8337.0610631553536</v>
      </c>
      <c r="T8" s="91">
        <f>'Pro-Forma'!T20</f>
        <v>9410.5351697889691</v>
      </c>
      <c r="U8" s="92">
        <f>'Pro-Forma'!U20</f>
        <v>10484.009276422585</v>
      </c>
      <c r="V8" s="91">
        <f>'Pro-Forma'!V20</f>
        <v>11557.4833830562</v>
      </c>
      <c r="W8" s="92">
        <f>'Pro-Forma'!W20</f>
        <v>12630.957489689816</v>
      </c>
      <c r="X8" s="91">
        <f>'Pro-Forma'!X20</f>
        <v>13704.431596323431</v>
      </c>
      <c r="Y8" s="92">
        <f>'Pro-Forma'!Y20</f>
        <v>13704.431596323431</v>
      </c>
      <c r="Z8" s="91">
        <f>'Pro-Forma'!Z20</f>
        <v>13704.431596323431</v>
      </c>
      <c r="AA8" s="92">
        <f>'Pro-Forma'!AA20</f>
        <v>13704.431596323431</v>
      </c>
      <c r="AB8" s="93">
        <f>SUM(P8:AA8)</f>
        <v>129028.53363697184</v>
      </c>
      <c r="AC8" s="91">
        <f>'Pro-Forma'!AC20</f>
        <v>13704.431596323431</v>
      </c>
      <c r="AD8" s="92">
        <f>'Pro-Forma'!AD20</f>
        <v>13704.431596323431</v>
      </c>
      <c r="AE8" s="91">
        <f>'Pro-Forma'!AE20</f>
        <v>13704.431596323431</v>
      </c>
      <c r="AF8" s="92">
        <f>'Pro-Forma'!AF20</f>
        <v>14656.313908335833</v>
      </c>
      <c r="AG8" s="91">
        <f>'Pro-Forma'!AG20</f>
        <v>15608.196220348234</v>
      </c>
      <c r="AH8" s="92">
        <f>'Pro-Forma'!AH20</f>
        <v>16560.078532360632</v>
      </c>
      <c r="AI8" s="91">
        <f>'Pro-Forma'!AI20</f>
        <v>17511.960844373036</v>
      </c>
      <c r="AJ8" s="92">
        <f>'Pro-Forma'!AJ20</f>
        <v>18463.843156385436</v>
      </c>
      <c r="AK8" s="91">
        <f>'Pro-Forma'!AK20</f>
        <v>19415.725468397835</v>
      </c>
      <c r="AL8" s="92">
        <f>'Pro-Forma'!AL20</f>
        <v>19415.725468397835</v>
      </c>
      <c r="AM8" s="91">
        <f>'Pro-Forma'!AM20</f>
        <v>19415.725468397835</v>
      </c>
      <c r="AN8" s="92">
        <f>'Pro-Forma'!AN20</f>
        <v>19415.725468397835</v>
      </c>
      <c r="AO8" s="93">
        <f>SUM(AC8:AN8)</f>
        <v>201576.58932436482</v>
      </c>
      <c r="AP8" s="91">
        <f>'Pro-Forma'!AP20</f>
        <v>19415.725468397835</v>
      </c>
      <c r="AQ8" s="92">
        <f>'Pro-Forma'!AQ20</f>
        <v>19415.725468397835</v>
      </c>
      <c r="AR8" s="91">
        <f>'Pro-Forma'!AR20</f>
        <v>19415.725468397835</v>
      </c>
      <c r="AS8" s="92">
        <f>'Pro-Forma'!AS20</f>
        <v>20259.788618429018</v>
      </c>
      <c r="AT8" s="91">
        <f>'Pro-Forma'!AT20</f>
        <v>21103.851768460197</v>
      </c>
      <c r="AU8" s="92">
        <f>'Pro-Forma'!AU20</f>
        <v>21947.914918491373</v>
      </c>
      <c r="AV8" s="91">
        <f>'Pro-Forma'!AV20</f>
        <v>22791.978068522552</v>
      </c>
      <c r="AW8" s="92">
        <f>'Pro-Forma'!AW20</f>
        <v>23636.041218553732</v>
      </c>
      <c r="AX8" s="91">
        <f>'Pro-Forma'!AX20</f>
        <v>24480.104368584907</v>
      </c>
      <c r="AY8" s="92">
        <f>'Pro-Forma'!AY20</f>
        <v>24480.104368584907</v>
      </c>
      <c r="AZ8" s="91">
        <f>'Pro-Forma'!AZ20</f>
        <v>24480.104368584907</v>
      </c>
      <c r="BA8" s="92">
        <f>'Pro-Forma'!BA20</f>
        <v>24480.104368584907</v>
      </c>
      <c r="BB8" s="93">
        <f>SUM(AP8:BA8)</f>
        <v>265907.16847198998</v>
      </c>
      <c r="BC8" s="91">
        <f>'Pro-Forma'!BC20</f>
        <v>24480.104368584907</v>
      </c>
      <c r="BD8" s="92">
        <f>'Pro-Forma'!BD20</f>
        <v>24480.104368584907</v>
      </c>
      <c r="BE8" s="91">
        <f>'Pro-Forma'!BE20</f>
        <v>24480.104368584907</v>
      </c>
      <c r="BF8" s="92">
        <f>'Pro-Forma'!BF20</f>
        <v>25228.560971097417</v>
      </c>
      <c r="BG8" s="91">
        <f>'Pro-Forma'!BG20</f>
        <v>25977.01757360993</v>
      </c>
      <c r="BH8" s="92">
        <f>'Pro-Forma'!BH20</f>
        <v>26725.474176122436</v>
      </c>
      <c r="BI8" s="91">
        <f>'Pro-Forma'!BI20</f>
        <v>27473.930778634949</v>
      </c>
      <c r="BJ8" s="92">
        <f>'Pro-Forma'!BJ20</f>
        <v>28222.387381147462</v>
      </c>
      <c r="BK8" s="91">
        <f>'Pro-Forma'!BK20</f>
        <v>28970.843983659968</v>
      </c>
      <c r="BL8" s="92">
        <f>'Pro-Forma'!BL20</f>
        <v>28970.843983659968</v>
      </c>
      <c r="BM8" s="91">
        <f>'Pro-Forma'!BM20</f>
        <v>28970.843983659968</v>
      </c>
      <c r="BN8" s="92">
        <f>'Pro-Forma'!BN20</f>
        <v>28970.843983659968</v>
      </c>
      <c r="BO8" s="93">
        <f>SUM(BC8:BN8)</f>
        <v>322951.05992100679</v>
      </c>
    </row>
    <row r="9" spans="2:67" x14ac:dyDescent="0.2">
      <c r="B9" s="51" t="s">
        <v>263</v>
      </c>
      <c r="C9" s="94">
        <f>'Pro-Forma'!C21</f>
        <v>0</v>
      </c>
      <c r="D9" s="95">
        <f>'Pro-Forma'!D21</f>
        <v>0</v>
      </c>
      <c r="E9" s="94">
        <f>'Pro-Forma'!E21</f>
        <v>0</v>
      </c>
      <c r="F9" s="95">
        <f>'Pro-Forma'!F21</f>
        <v>0</v>
      </c>
      <c r="G9" s="94">
        <f>'Pro-Forma'!G21</f>
        <v>0</v>
      </c>
      <c r="H9" s="95">
        <f>'Pro-Forma'!H21</f>
        <v>0</v>
      </c>
      <c r="I9" s="94">
        <f>'Pro-Forma'!I21</f>
        <v>0</v>
      </c>
      <c r="J9" s="95">
        <f>'Pro-Forma'!J21</f>
        <v>0</v>
      </c>
      <c r="K9" s="94">
        <f>'Pro-Forma'!K21</f>
        <v>0</v>
      </c>
      <c r="L9" s="95">
        <f>'Pro-Forma'!L21</f>
        <v>0</v>
      </c>
      <c r="M9" s="94">
        <f>'Pro-Forma'!M21</f>
        <v>0</v>
      </c>
      <c r="N9" s="95">
        <f>'Pro-Forma'!N21</f>
        <v>0</v>
      </c>
      <c r="O9" s="96">
        <f>SUM(C9:N9)</f>
        <v>0</v>
      </c>
      <c r="P9" s="94">
        <f>'Pro-Forma'!P21</f>
        <v>0</v>
      </c>
      <c r="Q9" s="95">
        <f>'Pro-Forma'!Q21</f>
        <v>0</v>
      </c>
      <c r="R9" s="94">
        <f>'Pro-Forma'!R21</f>
        <v>0</v>
      </c>
      <c r="S9" s="95">
        <f>'Pro-Forma'!S21</f>
        <v>0</v>
      </c>
      <c r="T9" s="94">
        <f>'Pro-Forma'!T21</f>
        <v>0</v>
      </c>
      <c r="U9" s="95">
        <f>'Pro-Forma'!U21</f>
        <v>0</v>
      </c>
      <c r="V9" s="94">
        <f>'Pro-Forma'!V21</f>
        <v>0</v>
      </c>
      <c r="W9" s="95">
        <f>'Pro-Forma'!W21</f>
        <v>0</v>
      </c>
      <c r="X9" s="94">
        <f>'Pro-Forma'!X21</f>
        <v>0</v>
      </c>
      <c r="Y9" s="95">
        <f>'Pro-Forma'!Y21</f>
        <v>0</v>
      </c>
      <c r="Z9" s="94">
        <f>'Pro-Forma'!Z21</f>
        <v>0</v>
      </c>
      <c r="AA9" s="95">
        <f>'Pro-Forma'!AA21</f>
        <v>0</v>
      </c>
      <c r="AB9" s="96">
        <f>SUM(P9:AA9)</f>
        <v>0</v>
      </c>
      <c r="AC9" s="94">
        <f>'Pro-Forma'!AC21</f>
        <v>0</v>
      </c>
      <c r="AD9" s="95">
        <f>'Pro-Forma'!AD21</f>
        <v>0</v>
      </c>
      <c r="AE9" s="94">
        <f>'Pro-Forma'!AE21</f>
        <v>6463.0434782608691</v>
      </c>
      <c r="AF9" s="95">
        <f>'Pro-Forma'!AF21</f>
        <v>0</v>
      </c>
      <c r="AG9" s="94">
        <f>'Pro-Forma'!AG21</f>
        <v>0</v>
      </c>
      <c r="AH9" s="95">
        <f>'Pro-Forma'!AH21</f>
        <v>0</v>
      </c>
      <c r="AI9" s="94">
        <f>'Pro-Forma'!AI21</f>
        <v>0</v>
      </c>
      <c r="AJ9" s="95">
        <f>'Pro-Forma'!AJ21</f>
        <v>0</v>
      </c>
      <c r="AK9" s="94">
        <f>'Pro-Forma'!AK21</f>
        <v>0</v>
      </c>
      <c r="AL9" s="95">
        <f>'Pro-Forma'!AL21</f>
        <v>0</v>
      </c>
      <c r="AM9" s="94">
        <f>'Pro-Forma'!AM21</f>
        <v>0</v>
      </c>
      <c r="AN9" s="95">
        <f>'Pro-Forma'!AN21</f>
        <v>0</v>
      </c>
      <c r="AO9" s="96">
        <f>SUM(AC9:AN9)</f>
        <v>6463.0434782608691</v>
      </c>
      <c r="AP9" s="94">
        <f>'Pro-Forma'!AP21</f>
        <v>0</v>
      </c>
      <c r="AQ9" s="95">
        <f>'Pro-Forma'!AQ21</f>
        <v>0</v>
      </c>
      <c r="AR9" s="94">
        <f>'Pro-Forma'!AR21</f>
        <v>9694.565217391304</v>
      </c>
      <c r="AS9" s="95">
        <f>'Pro-Forma'!AS21</f>
        <v>0</v>
      </c>
      <c r="AT9" s="94">
        <f>'Pro-Forma'!AT21</f>
        <v>0</v>
      </c>
      <c r="AU9" s="95">
        <f>'Pro-Forma'!AU21</f>
        <v>0</v>
      </c>
      <c r="AV9" s="94">
        <f>'Pro-Forma'!AV21</f>
        <v>0</v>
      </c>
      <c r="AW9" s="95">
        <f>'Pro-Forma'!AW21</f>
        <v>0</v>
      </c>
      <c r="AX9" s="94">
        <f>'Pro-Forma'!AX21</f>
        <v>0</v>
      </c>
      <c r="AY9" s="95">
        <f>'Pro-Forma'!AY21</f>
        <v>0</v>
      </c>
      <c r="AZ9" s="94">
        <f>'Pro-Forma'!AZ21</f>
        <v>0</v>
      </c>
      <c r="BA9" s="95">
        <f>'Pro-Forma'!BA21</f>
        <v>0</v>
      </c>
      <c r="BB9" s="96">
        <f>SUM(AP9:BA9)</f>
        <v>9694.565217391304</v>
      </c>
      <c r="BC9" s="94">
        <f>'Pro-Forma'!BC21</f>
        <v>0</v>
      </c>
      <c r="BD9" s="95">
        <f>'Pro-Forma'!BD21</f>
        <v>0</v>
      </c>
      <c r="BE9" s="94">
        <f>'Pro-Forma'!BE21</f>
        <v>12926.086956521738</v>
      </c>
      <c r="BF9" s="95">
        <f>'Pro-Forma'!BF21</f>
        <v>0</v>
      </c>
      <c r="BG9" s="94">
        <f>'Pro-Forma'!BG21</f>
        <v>0</v>
      </c>
      <c r="BH9" s="95">
        <f>'Pro-Forma'!BH21</f>
        <v>0</v>
      </c>
      <c r="BI9" s="94">
        <f>'Pro-Forma'!BI21</f>
        <v>0</v>
      </c>
      <c r="BJ9" s="95">
        <f>'Pro-Forma'!BJ21</f>
        <v>0</v>
      </c>
      <c r="BK9" s="94">
        <f>'Pro-Forma'!BK21</f>
        <v>0</v>
      </c>
      <c r="BL9" s="95">
        <f>'Pro-Forma'!BL21</f>
        <v>0</v>
      </c>
      <c r="BM9" s="94">
        <f>'Pro-Forma'!BM21</f>
        <v>0</v>
      </c>
      <c r="BN9" s="95">
        <f>'Pro-Forma'!BN21</f>
        <v>0</v>
      </c>
      <c r="BO9" s="96">
        <f>SUM(BC9:BN9)</f>
        <v>12926.086956521738</v>
      </c>
    </row>
    <row r="10" spans="2:67" x14ac:dyDescent="0.2">
      <c r="B10" s="47" t="s">
        <v>264</v>
      </c>
      <c r="C10" s="97">
        <f t="shared" ref="C10:N10" si="5">C8+C9</f>
        <v>0</v>
      </c>
      <c r="D10" s="98">
        <f t="shared" si="5"/>
        <v>0</v>
      </c>
      <c r="E10" s="97">
        <f t="shared" si="5"/>
        <v>0</v>
      </c>
      <c r="F10" s="98">
        <f t="shared" si="5"/>
        <v>1210.5978260869563</v>
      </c>
      <c r="G10" s="97">
        <f t="shared" si="5"/>
        <v>2421.1956521739125</v>
      </c>
      <c r="H10" s="98">
        <f t="shared" si="5"/>
        <v>3631.7934782608695</v>
      </c>
      <c r="I10" s="97">
        <f t="shared" si="5"/>
        <v>4842.3913043478251</v>
      </c>
      <c r="J10" s="98">
        <f t="shared" si="5"/>
        <v>6052.989130434783</v>
      </c>
      <c r="K10" s="97">
        <f t="shared" si="5"/>
        <v>7263.586956521739</v>
      </c>
      <c r="L10" s="98">
        <f t="shared" si="5"/>
        <v>7263.586956521739</v>
      </c>
      <c r="M10" s="97">
        <f t="shared" si="5"/>
        <v>7263.586956521739</v>
      </c>
      <c r="N10" s="98">
        <f t="shared" si="5"/>
        <v>7263.586956521739</v>
      </c>
      <c r="O10" s="99">
        <f>SUM(C10:N10)</f>
        <v>47213.315217391304</v>
      </c>
      <c r="P10" s="97">
        <f t="shared" ref="P10:AA10" si="6">P8+P9</f>
        <v>7263.586956521739</v>
      </c>
      <c r="Q10" s="98">
        <f t="shared" si="6"/>
        <v>7263.586956521739</v>
      </c>
      <c r="R10" s="97">
        <f t="shared" si="6"/>
        <v>7263.586956521739</v>
      </c>
      <c r="S10" s="98">
        <f t="shared" si="6"/>
        <v>8337.0610631553536</v>
      </c>
      <c r="T10" s="97">
        <f t="shared" si="6"/>
        <v>9410.5351697889691</v>
      </c>
      <c r="U10" s="98">
        <f t="shared" si="6"/>
        <v>10484.009276422585</v>
      </c>
      <c r="V10" s="97">
        <f t="shared" si="6"/>
        <v>11557.4833830562</v>
      </c>
      <c r="W10" s="98">
        <f t="shared" si="6"/>
        <v>12630.957489689816</v>
      </c>
      <c r="X10" s="97">
        <f t="shared" si="6"/>
        <v>13704.431596323431</v>
      </c>
      <c r="Y10" s="98">
        <f t="shared" si="6"/>
        <v>13704.431596323431</v>
      </c>
      <c r="Z10" s="97">
        <f t="shared" si="6"/>
        <v>13704.431596323431</v>
      </c>
      <c r="AA10" s="98">
        <f t="shared" si="6"/>
        <v>13704.431596323431</v>
      </c>
      <c r="AB10" s="99">
        <f>SUM(P10:AA10)</f>
        <v>129028.53363697184</v>
      </c>
      <c r="AC10" s="97">
        <f t="shared" ref="AC10:AN10" si="7">AC8+AC9</f>
        <v>13704.431596323431</v>
      </c>
      <c r="AD10" s="98">
        <f t="shared" si="7"/>
        <v>13704.431596323431</v>
      </c>
      <c r="AE10" s="97">
        <f t="shared" si="7"/>
        <v>20167.475074584301</v>
      </c>
      <c r="AF10" s="98">
        <f t="shared" si="7"/>
        <v>14656.313908335833</v>
      </c>
      <c r="AG10" s="97">
        <f t="shared" si="7"/>
        <v>15608.196220348234</v>
      </c>
      <c r="AH10" s="98">
        <f t="shared" si="7"/>
        <v>16560.078532360632</v>
      </c>
      <c r="AI10" s="97">
        <f t="shared" si="7"/>
        <v>17511.960844373036</v>
      </c>
      <c r="AJ10" s="98">
        <f t="shared" si="7"/>
        <v>18463.843156385436</v>
      </c>
      <c r="AK10" s="97">
        <f t="shared" si="7"/>
        <v>19415.725468397835</v>
      </c>
      <c r="AL10" s="98">
        <f t="shared" si="7"/>
        <v>19415.725468397835</v>
      </c>
      <c r="AM10" s="97">
        <f t="shared" si="7"/>
        <v>19415.725468397835</v>
      </c>
      <c r="AN10" s="98">
        <f t="shared" si="7"/>
        <v>19415.725468397835</v>
      </c>
      <c r="AO10" s="99">
        <f>SUM(AC10:AN10)</f>
        <v>208039.63280262571</v>
      </c>
      <c r="AP10" s="97">
        <f t="shared" ref="AP10:BA10" si="8">AP8+AP9</f>
        <v>19415.725468397835</v>
      </c>
      <c r="AQ10" s="98">
        <f t="shared" si="8"/>
        <v>19415.725468397835</v>
      </c>
      <c r="AR10" s="97">
        <f t="shared" si="8"/>
        <v>29110.290685789139</v>
      </c>
      <c r="AS10" s="98">
        <f t="shared" si="8"/>
        <v>20259.788618429018</v>
      </c>
      <c r="AT10" s="97">
        <f t="shared" si="8"/>
        <v>21103.851768460197</v>
      </c>
      <c r="AU10" s="98">
        <f t="shared" si="8"/>
        <v>21947.914918491373</v>
      </c>
      <c r="AV10" s="97">
        <f t="shared" si="8"/>
        <v>22791.978068522552</v>
      </c>
      <c r="AW10" s="98">
        <f t="shared" si="8"/>
        <v>23636.041218553732</v>
      </c>
      <c r="AX10" s="97">
        <f t="shared" si="8"/>
        <v>24480.104368584907</v>
      </c>
      <c r="AY10" s="98">
        <f t="shared" si="8"/>
        <v>24480.104368584907</v>
      </c>
      <c r="AZ10" s="97">
        <f t="shared" si="8"/>
        <v>24480.104368584907</v>
      </c>
      <c r="BA10" s="98">
        <f t="shared" si="8"/>
        <v>24480.104368584907</v>
      </c>
      <c r="BB10" s="99">
        <f>SUM(AP10:BA10)</f>
        <v>275601.73368938128</v>
      </c>
      <c r="BC10" s="97">
        <f t="shared" ref="BC10:BN10" si="9">BC8+BC9</f>
        <v>24480.104368584907</v>
      </c>
      <c r="BD10" s="98">
        <f t="shared" si="9"/>
        <v>24480.104368584907</v>
      </c>
      <c r="BE10" s="97">
        <f t="shared" si="9"/>
        <v>37406.191325106643</v>
      </c>
      <c r="BF10" s="98">
        <f t="shared" si="9"/>
        <v>25228.560971097417</v>
      </c>
      <c r="BG10" s="97">
        <f t="shared" si="9"/>
        <v>25977.01757360993</v>
      </c>
      <c r="BH10" s="98">
        <f t="shared" si="9"/>
        <v>26725.474176122436</v>
      </c>
      <c r="BI10" s="97">
        <f t="shared" si="9"/>
        <v>27473.930778634949</v>
      </c>
      <c r="BJ10" s="98">
        <f t="shared" si="9"/>
        <v>28222.387381147462</v>
      </c>
      <c r="BK10" s="97">
        <f t="shared" si="9"/>
        <v>28970.843983659968</v>
      </c>
      <c r="BL10" s="98">
        <f t="shared" si="9"/>
        <v>28970.843983659968</v>
      </c>
      <c r="BM10" s="97">
        <f t="shared" si="9"/>
        <v>28970.843983659968</v>
      </c>
      <c r="BN10" s="98">
        <f t="shared" si="9"/>
        <v>28970.843983659968</v>
      </c>
      <c r="BO10" s="99">
        <f>SUM(BC10:BN10)</f>
        <v>335877.14687752852</v>
      </c>
    </row>
    <row r="11" spans="2:67" x14ac:dyDescent="0.2">
      <c r="B11" s="11" t="s">
        <v>265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2:67" x14ac:dyDescent="0.2">
      <c r="B12" s="51" t="s">
        <v>266</v>
      </c>
      <c r="C12" s="100">
        <f>'Pro-Forma'!C31</f>
        <v>13500</v>
      </c>
      <c r="D12" s="101">
        <f>'Pro-Forma'!D31</f>
        <v>2000</v>
      </c>
      <c r="E12" s="100">
        <f>'Pro-Forma'!E31</f>
        <v>8500</v>
      </c>
      <c r="F12" s="101">
        <f>'Pro-Forma'!F31</f>
        <v>8500</v>
      </c>
      <c r="G12" s="100">
        <f>'Pro-Forma'!G31</f>
        <v>8500</v>
      </c>
      <c r="H12" s="101">
        <f>'Pro-Forma'!H31</f>
        <v>8500</v>
      </c>
      <c r="I12" s="100">
        <f>'Pro-Forma'!I31</f>
        <v>8500</v>
      </c>
      <c r="J12" s="101">
        <f>'Pro-Forma'!J31</f>
        <v>8500</v>
      </c>
      <c r="K12" s="100">
        <f>'Pro-Forma'!K31</f>
        <v>8500</v>
      </c>
      <c r="L12" s="101">
        <f>'Pro-Forma'!L31</f>
        <v>8500</v>
      </c>
      <c r="M12" s="100">
        <f>'Pro-Forma'!M31</f>
        <v>8500</v>
      </c>
      <c r="N12" s="101">
        <f>'Pro-Forma'!N31</f>
        <v>8500</v>
      </c>
      <c r="O12" s="102">
        <f>SUM(C12:N12)</f>
        <v>100500</v>
      </c>
      <c r="P12" s="100">
        <f>'Pro-Forma'!P31</f>
        <v>8500</v>
      </c>
      <c r="Q12" s="101">
        <f>'Pro-Forma'!Q31</f>
        <v>8500</v>
      </c>
      <c r="R12" s="100">
        <f>'Pro-Forma'!R31</f>
        <v>8500</v>
      </c>
      <c r="S12" s="101">
        <f>'Pro-Forma'!S31</f>
        <v>8500</v>
      </c>
      <c r="T12" s="100">
        <f>'Pro-Forma'!T31</f>
        <v>8500</v>
      </c>
      <c r="U12" s="101">
        <f>'Pro-Forma'!U31</f>
        <v>8500</v>
      </c>
      <c r="V12" s="100">
        <f>'Pro-Forma'!V31</f>
        <v>8500</v>
      </c>
      <c r="W12" s="101">
        <f>'Pro-Forma'!W31</f>
        <v>8500</v>
      </c>
      <c r="X12" s="100">
        <f>'Pro-Forma'!X31</f>
        <v>8500</v>
      </c>
      <c r="Y12" s="101">
        <f>'Pro-Forma'!Y31</f>
        <v>8500</v>
      </c>
      <c r="Z12" s="100">
        <f>'Pro-Forma'!Z31</f>
        <v>8500</v>
      </c>
      <c r="AA12" s="101">
        <f>'Pro-Forma'!AA31</f>
        <v>8500</v>
      </c>
      <c r="AB12" s="102">
        <f>SUM(P12:AA12)</f>
        <v>102000</v>
      </c>
      <c r="AC12" s="100">
        <f>'Pro-Forma'!AC31</f>
        <v>8500</v>
      </c>
      <c r="AD12" s="101">
        <f>'Pro-Forma'!AD31</f>
        <v>8500</v>
      </c>
      <c r="AE12" s="100">
        <f>'Pro-Forma'!AE31</f>
        <v>8500</v>
      </c>
      <c r="AF12" s="101">
        <f>'Pro-Forma'!AF31</f>
        <v>8500</v>
      </c>
      <c r="AG12" s="100">
        <f>'Pro-Forma'!AG31</f>
        <v>8500</v>
      </c>
      <c r="AH12" s="101">
        <f>'Pro-Forma'!AH31</f>
        <v>8500</v>
      </c>
      <c r="AI12" s="100">
        <f>'Pro-Forma'!AI31</f>
        <v>8500</v>
      </c>
      <c r="AJ12" s="101">
        <f>'Pro-Forma'!AJ31</f>
        <v>8500</v>
      </c>
      <c r="AK12" s="100">
        <f>'Pro-Forma'!AK31</f>
        <v>8500</v>
      </c>
      <c r="AL12" s="101">
        <f>'Pro-Forma'!AL31</f>
        <v>8500</v>
      </c>
      <c r="AM12" s="100">
        <f>'Pro-Forma'!AM31</f>
        <v>8500</v>
      </c>
      <c r="AN12" s="101">
        <f>'Pro-Forma'!AN31</f>
        <v>8500</v>
      </c>
      <c r="AO12" s="102">
        <f>SUM(AC12:AN12)</f>
        <v>102000</v>
      </c>
      <c r="AP12" s="100">
        <f>'Pro-Forma'!AP31</f>
        <v>8500</v>
      </c>
      <c r="AQ12" s="101">
        <f>'Pro-Forma'!AQ31</f>
        <v>8500</v>
      </c>
      <c r="AR12" s="100">
        <f>'Pro-Forma'!AR31</f>
        <v>8500</v>
      </c>
      <c r="AS12" s="101">
        <f>'Pro-Forma'!AS31</f>
        <v>8500</v>
      </c>
      <c r="AT12" s="100">
        <f>'Pro-Forma'!AT31</f>
        <v>8500</v>
      </c>
      <c r="AU12" s="101">
        <f>'Pro-Forma'!AU31</f>
        <v>8500</v>
      </c>
      <c r="AV12" s="100">
        <f>'Pro-Forma'!AV31</f>
        <v>8500</v>
      </c>
      <c r="AW12" s="101">
        <f>'Pro-Forma'!AW31</f>
        <v>8500</v>
      </c>
      <c r="AX12" s="100">
        <f>'Pro-Forma'!AX31</f>
        <v>8500</v>
      </c>
      <c r="AY12" s="101">
        <f>'Pro-Forma'!AY31</f>
        <v>8500</v>
      </c>
      <c r="AZ12" s="100">
        <f>'Pro-Forma'!AZ31</f>
        <v>8500</v>
      </c>
      <c r="BA12" s="101">
        <f>'Pro-Forma'!BA31</f>
        <v>8500</v>
      </c>
      <c r="BB12" s="102">
        <f>SUM(AP12:BA12)</f>
        <v>102000</v>
      </c>
      <c r="BC12" s="100">
        <f>'Pro-Forma'!BC31</f>
        <v>8500</v>
      </c>
      <c r="BD12" s="101">
        <f>'Pro-Forma'!BD31</f>
        <v>8500</v>
      </c>
      <c r="BE12" s="100">
        <f>'Pro-Forma'!BE31</f>
        <v>8500</v>
      </c>
      <c r="BF12" s="101">
        <f>'Pro-Forma'!BF31</f>
        <v>8500</v>
      </c>
      <c r="BG12" s="100">
        <f>'Pro-Forma'!BG31</f>
        <v>8500</v>
      </c>
      <c r="BH12" s="101">
        <f>'Pro-Forma'!BH31</f>
        <v>8500</v>
      </c>
      <c r="BI12" s="100">
        <f>'Pro-Forma'!BI31</f>
        <v>8500</v>
      </c>
      <c r="BJ12" s="101">
        <f>'Pro-Forma'!BJ31</f>
        <v>8500</v>
      </c>
      <c r="BK12" s="100">
        <f>'Pro-Forma'!BK31</f>
        <v>8500</v>
      </c>
      <c r="BL12" s="101">
        <f>'Pro-Forma'!BL31</f>
        <v>8500</v>
      </c>
      <c r="BM12" s="100">
        <f>'Pro-Forma'!BM31</f>
        <v>8500</v>
      </c>
      <c r="BN12" s="101">
        <f>'Pro-Forma'!BN31</f>
        <v>8500</v>
      </c>
      <c r="BO12" s="102">
        <f>SUM(BC12:BN12)</f>
        <v>102000</v>
      </c>
    </row>
    <row r="13" spans="2:67" x14ac:dyDescent="0.2">
      <c r="B13" s="11" t="s">
        <v>267</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row>
    <row r="14" spans="2:67" x14ac:dyDescent="0.2">
      <c r="B14" s="47" t="s">
        <v>268</v>
      </c>
      <c r="C14" s="97">
        <f t="shared" ref="C14:N14" si="10">C10-C12</f>
        <v>-13500</v>
      </c>
      <c r="D14" s="98">
        <f t="shared" si="10"/>
        <v>-2000</v>
      </c>
      <c r="E14" s="97">
        <f t="shared" si="10"/>
        <v>-8500</v>
      </c>
      <c r="F14" s="98">
        <f t="shared" si="10"/>
        <v>-7289.402173913044</v>
      </c>
      <c r="G14" s="97">
        <f t="shared" si="10"/>
        <v>-6078.8043478260879</v>
      </c>
      <c r="H14" s="98">
        <f t="shared" si="10"/>
        <v>-4868.20652173913</v>
      </c>
      <c r="I14" s="97">
        <f t="shared" si="10"/>
        <v>-3657.6086956521749</v>
      </c>
      <c r="J14" s="98">
        <f t="shared" si="10"/>
        <v>-2447.010869565217</v>
      </c>
      <c r="K14" s="97">
        <f t="shared" si="10"/>
        <v>-1236.413043478261</v>
      </c>
      <c r="L14" s="98">
        <f t="shared" si="10"/>
        <v>-1236.413043478261</v>
      </c>
      <c r="M14" s="97">
        <f t="shared" si="10"/>
        <v>-1236.413043478261</v>
      </c>
      <c r="N14" s="98">
        <f t="shared" si="10"/>
        <v>-1236.413043478261</v>
      </c>
      <c r="O14" s="99">
        <f>SUM(C14:N14)</f>
        <v>-53286.684782608711</v>
      </c>
      <c r="P14" s="97">
        <f t="shared" ref="P14:AA14" si="11">P10-P12</f>
        <v>-1236.413043478261</v>
      </c>
      <c r="Q14" s="98">
        <f t="shared" si="11"/>
        <v>-1236.413043478261</v>
      </c>
      <c r="R14" s="97">
        <f t="shared" si="11"/>
        <v>-1236.413043478261</v>
      </c>
      <c r="S14" s="98">
        <f t="shared" si="11"/>
        <v>-162.93893684464638</v>
      </c>
      <c r="T14" s="97">
        <f t="shared" si="11"/>
        <v>910.53516978896914</v>
      </c>
      <c r="U14" s="98">
        <f t="shared" si="11"/>
        <v>1984.0092764225847</v>
      </c>
      <c r="V14" s="97">
        <f t="shared" si="11"/>
        <v>3057.4833830562002</v>
      </c>
      <c r="W14" s="98">
        <f t="shared" si="11"/>
        <v>4130.9574896898157</v>
      </c>
      <c r="X14" s="97">
        <f t="shared" si="11"/>
        <v>5204.4315963234312</v>
      </c>
      <c r="Y14" s="98">
        <f t="shared" si="11"/>
        <v>5204.4315963234312</v>
      </c>
      <c r="Z14" s="97">
        <f t="shared" si="11"/>
        <v>5204.4315963234312</v>
      </c>
      <c r="AA14" s="98">
        <f t="shared" si="11"/>
        <v>5204.4315963234312</v>
      </c>
      <c r="AB14" s="99">
        <f>SUM(P14:AA14)</f>
        <v>27028.533636971872</v>
      </c>
      <c r="AC14" s="97">
        <f t="shared" ref="AC14:AN14" si="12">AC10-AC12</f>
        <v>5204.4315963234312</v>
      </c>
      <c r="AD14" s="98">
        <f t="shared" si="12"/>
        <v>5204.4315963234312</v>
      </c>
      <c r="AE14" s="97">
        <f t="shared" si="12"/>
        <v>11667.475074584301</v>
      </c>
      <c r="AF14" s="98">
        <f t="shared" si="12"/>
        <v>6156.3139083358328</v>
      </c>
      <c r="AG14" s="97">
        <f t="shared" si="12"/>
        <v>7108.1962203482344</v>
      </c>
      <c r="AH14" s="98">
        <f t="shared" si="12"/>
        <v>8060.0785323606324</v>
      </c>
      <c r="AI14" s="97">
        <f t="shared" si="12"/>
        <v>9011.9608443730358</v>
      </c>
      <c r="AJ14" s="98">
        <f t="shared" si="12"/>
        <v>9963.8431563854356</v>
      </c>
      <c r="AK14" s="97">
        <f t="shared" si="12"/>
        <v>10915.725468397835</v>
      </c>
      <c r="AL14" s="98">
        <f t="shared" si="12"/>
        <v>10915.725468397835</v>
      </c>
      <c r="AM14" s="97">
        <f t="shared" si="12"/>
        <v>10915.725468397835</v>
      </c>
      <c r="AN14" s="98">
        <f t="shared" si="12"/>
        <v>10915.725468397835</v>
      </c>
      <c r="AO14" s="99">
        <f>SUM(AC14:AN14)</f>
        <v>106039.6328026257</v>
      </c>
      <c r="AP14" s="97">
        <f t="shared" ref="AP14:BA14" si="13">AP10-AP12</f>
        <v>10915.725468397835</v>
      </c>
      <c r="AQ14" s="98">
        <f t="shared" si="13"/>
        <v>10915.725468397835</v>
      </c>
      <c r="AR14" s="97">
        <f t="shared" si="13"/>
        <v>20610.290685789139</v>
      </c>
      <c r="AS14" s="98">
        <f t="shared" si="13"/>
        <v>11759.788618429018</v>
      </c>
      <c r="AT14" s="97">
        <f t="shared" si="13"/>
        <v>12603.851768460197</v>
      </c>
      <c r="AU14" s="98">
        <f t="shared" si="13"/>
        <v>13447.914918491373</v>
      </c>
      <c r="AV14" s="97">
        <f t="shared" si="13"/>
        <v>14291.978068522552</v>
      </c>
      <c r="AW14" s="98">
        <f t="shared" si="13"/>
        <v>15136.041218553732</v>
      </c>
      <c r="AX14" s="97">
        <f t="shared" si="13"/>
        <v>15980.104368584907</v>
      </c>
      <c r="AY14" s="98">
        <f t="shared" si="13"/>
        <v>15980.104368584907</v>
      </c>
      <c r="AZ14" s="97">
        <f t="shared" si="13"/>
        <v>15980.104368584907</v>
      </c>
      <c r="BA14" s="98">
        <f t="shared" si="13"/>
        <v>15980.104368584907</v>
      </c>
      <c r="BB14" s="99">
        <f>SUM(AP14:BA14)</f>
        <v>173601.7336893813</v>
      </c>
      <c r="BC14" s="97">
        <f t="shared" ref="BC14:BN14" si="14">BC10-BC12</f>
        <v>15980.104368584907</v>
      </c>
      <c r="BD14" s="98">
        <f t="shared" si="14"/>
        <v>15980.104368584907</v>
      </c>
      <c r="BE14" s="97">
        <f t="shared" si="14"/>
        <v>28906.191325106643</v>
      </c>
      <c r="BF14" s="98">
        <f t="shared" si="14"/>
        <v>16728.560971097417</v>
      </c>
      <c r="BG14" s="97">
        <f t="shared" si="14"/>
        <v>17477.01757360993</v>
      </c>
      <c r="BH14" s="98">
        <f t="shared" si="14"/>
        <v>18225.474176122436</v>
      </c>
      <c r="BI14" s="97">
        <f t="shared" si="14"/>
        <v>18973.930778634949</v>
      </c>
      <c r="BJ14" s="98">
        <f t="shared" si="14"/>
        <v>19722.387381147462</v>
      </c>
      <c r="BK14" s="97">
        <f t="shared" si="14"/>
        <v>20470.843983659968</v>
      </c>
      <c r="BL14" s="98">
        <f t="shared" si="14"/>
        <v>20470.843983659968</v>
      </c>
      <c r="BM14" s="97">
        <f t="shared" si="14"/>
        <v>20470.843983659968</v>
      </c>
      <c r="BN14" s="98">
        <f t="shared" si="14"/>
        <v>20470.843983659968</v>
      </c>
      <c r="BO14" s="99">
        <f>SUM(BC14:BN14)</f>
        <v>233877.14687752846</v>
      </c>
    </row>
    <row r="15" spans="2:67" x14ac:dyDescent="0.2">
      <c r="B15" s="56" t="s">
        <v>269</v>
      </c>
      <c r="C15" s="103">
        <f t="shared" ref="C15:N15" si="15">C6+C14</f>
        <v>51500</v>
      </c>
      <c r="D15" s="103">
        <f t="shared" si="15"/>
        <v>49500</v>
      </c>
      <c r="E15" s="103">
        <f t="shared" si="15"/>
        <v>41000</v>
      </c>
      <c r="F15" s="103">
        <f t="shared" si="15"/>
        <v>33710.59782608696</v>
      </c>
      <c r="G15" s="103">
        <f t="shared" si="15"/>
        <v>27631.793478260872</v>
      </c>
      <c r="H15" s="103">
        <f t="shared" si="15"/>
        <v>22763.586956521744</v>
      </c>
      <c r="I15" s="103">
        <f t="shared" si="15"/>
        <v>19105.978260869568</v>
      </c>
      <c r="J15" s="103">
        <f t="shared" si="15"/>
        <v>16658.967391304352</v>
      </c>
      <c r="K15" s="103">
        <f t="shared" si="15"/>
        <v>15422.554347826092</v>
      </c>
      <c r="L15" s="103">
        <f t="shared" si="15"/>
        <v>14186.141304347831</v>
      </c>
      <c r="M15" s="103">
        <f t="shared" si="15"/>
        <v>12949.728260869571</v>
      </c>
      <c r="N15" s="103">
        <f t="shared" si="15"/>
        <v>11713.315217391311</v>
      </c>
      <c r="O15" s="90">
        <f>N15</f>
        <v>11713.315217391311</v>
      </c>
      <c r="P15" s="103">
        <f t="shared" ref="P15:AA15" si="16">P6+P14</f>
        <v>10476.902173913051</v>
      </c>
      <c r="Q15" s="103">
        <f t="shared" si="16"/>
        <v>9240.4891304347912</v>
      </c>
      <c r="R15" s="103">
        <f t="shared" si="16"/>
        <v>8004.0760869565302</v>
      </c>
      <c r="S15" s="103">
        <f t="shared" si="16"/>
        <v>7841.1371501118838</v>
      </c>
      <c r="T15" s="103">
        <f t="shared" si="16"/>
        <v>8751.672319900852</v>
      </c>
      <c r="U15" s="103">
        <f t="shared" si="16"/>
        <v>10735.681596323437</v>
      </c>
      <c r="V15" s="103">
        <f t="shared" si="16"/>
        <v>13793.164979379637</v>
      </c>
      <c r="W15" s="103">
        <f t="shared" si="16"/>
        <v>17924.122469069451</v>
      </c>
      <c r="X15" s="103">
        <f t="shared" si="16"/>
        <v>23128.554065392884</v>
      </c>
      <c r="Y15" s="103">
        <f t="shared" si="16"/>
        <v>28332.985661716317</v>
      </c>
      <c r="Z15" s="103">
        <f t="shared" si="16"/>
        <v>33537.41725803975</v>
      </c>
      <c r="AA15" s="103">
        <f t="shared" si="16"/>
        <v>38741.848854363183</v>
      </c>
      <c r="AB15" s="90">
        <f>AA15</f>
        <v>38741.848854363183</v>
      </c>
      <c r="AC15" s="103">
        <f t="shared" ref="AC15:AN15" si="17">AC6+AC14</f>
        <v>43946.280450686616</v>
      </c>
      <c r="AD15" s="103">
        <f t="shared" si="17"/>
        <v>49150.712047010049</v>
      </c>
      <c r="AE15" s="103">
        <f t="shared" si="17"/>
        <v>60818.187121594354</v>
      </c>
      <c r="AF15" s="103">
        <f t="shared" si="17"/>
        <v>66974.501029930194</v>
      </c>
      <c r="AG15" s="103">
        <f t="shared" si="17"/>
        <v>74082.697250278434</v>
      </c>
      <c r="AH15" s="103">
        <f t="shared" si="17"/>
        <v>82142.775782639073</v>
      </c>
      <c r="AI15" s="103">
        <f t="shared" si="17"/>
        <v>91154.736627012113</v>
      </c>
      <c r="AJ15" s="103">
        <f t="shared" si="17"/>
        <v>101118.57978339755</v>
      </c>
      <c r="AK15" s="103">
        <f t="shared" si="17"/>
        <v>112034.30525179539</v>
      </c>
      <c r="AL15" s="103">
        <f t="shared" si="17"/>
        <v>122950.03072019323</v>
      </c>
      <c r="AM15" s="103">
        <f t="shared" si="17"/>
        <v>133865.75618859107</v>
      </c>
      <c r="AN15" s="103">
        <f t="shared" si="17"/>
        <v>144781.48165698891</v>
      </c>
      <c r="AO15" s="90">
        <f>AN15</f>
        <v>144781.48165698891</v>
      </c>
      <c r="AP15" s="103">
        <f t="shared" ref="AP15:BA15" si="18">AP6+AP14</f>
        <v>155697.20712538675</v>
      </c>
      <c r="AQ15" s="103">
        <f t="shared" si="18"/>
        <v>166612.93259378459</v>
      </c>
      <c r="AR15" s="103">
        <f t="shared" si="18"/>
        <v>187223.22327957372</v>
      </c>
      <c r="AS15" s="103">
        <f t="shared" si="18"/>
        <v>198983.01189800273</v>
      </c>
      <c r="AT15" s="103">
        <f t="shared" si="18"/>
        <v>211586.86366646294</v>
      </c>
      <c r="AU15" s="103">
        <f t="shared" si="18"/>
        <v>225034.77858495433</v>
      </c>
      <c r="AV15" s="103">
        <f t="shared" si="18"/>
        <v>239326.75665347688</v>
      </c>
      <c r="AW15" s="103">
        <f t="shared" si="18"/>
        <v>254462.79787203061</v>
      </c>
      <c r="AX15" s="103">
        <f t="shared" si="18"/>
        <v>270442.90224061551</v>
      </c>
      <c r="AY15" s="103">
        <f t="shared" si="18"/>
        <v>286423.00660920044</v>
      </c>
      <c r="AZ15" s="103">
        <f t="shared" si="18"/>
        <v>302403.11097778537</v>
      </c>
      <c r="BA15" s="103">
        <f t="shared" si="18"/>
        <v>318383.2153463703</v>
      </c>
      <c r="BB15" s="90">
        <f>BA15</f>
        <v>318383.2153463703</v>
      </c>
      <c r="BC15" s="103">
        <f t="shared" ref="BC15:BN15" si="19">BC6+BC14</f>
        <v>334363.31971495523</v>
      </c>
      <c r="BD15" s="103">
        <f t="shared" si="19"/>
        <v>350343.42408354016</v>
      </c>
      <c r="BE15" s="103">
        <f t="shared" si="19"/>
        <v>379249.61540864682</v>
      </c>
      <c r="BF15" s="103">
        <f t="shared" si="19"/>
        <v>395978.17637974425</v>
      </c>
      <c r="BG15" s="103">
        <f t="shared" si="19"/>
        <v>413455.1939533542</v>
      </c>
      <c r="BH15" s="103">
        <f t="shared" si="19"/>
        <v>431680.66812947666</v>
      </c>
      <c r="BI15" s="103">
        <f t="shared" si="19"/>
        <v>450654.59890811163</v>
      </c>
      <c r="BJ15" s="103">
        <f t="shared" si="19"/>
        <v>470376.9862892591</v>
      </c>
      <c r="BK15" s="103">
        <f t="shared" si="19"/>
        <v>490847.83027291909</v>
      </c>
      <c r="BL15" s="103">
        <f t="shared" si="19"/>
        <v>511318.67425657908</v>
      </c>
      <c r="BM15" s="103">
        <f t="shared" si="19"/>
        <v>531789.51824023901</v>
      </c>
      <c r="BN15" s="103">
        <f t="shared" si="19"/>
        <v>552260.36222389899</v>
      </c>
      <c r="BO15" s="90">
        <f>BN15</f>
        <v>552260.36222389899</v>
      </c>
    </row>
    <row r="17" spans="2:67" x14ac:dyDescent="0.2">
      <c r="B17" s="47" t="s">
        <v>270</v>
      </c>
      <c r="C17" s="104" t="str">
        <f t="shared" ref="C17:N17" si="20">IF(C15&gt;0,"OK","OUT OF CASH")</f>
        <v>OK</v>
      </c>
      <c r="D17" s="105" t="str">
        <f t="shared" si="20"/>
        <v>OK</v>
      </c>
      <c r="E17" s="104" t="str">
        <f t="shared" si="20"/>
        <v>OK</v>
      </c>
      <c r="F17" s="105" t="str">
        <f t="shared" si="20"/>
        <v>OK</v>
      </c>
      <c r="G17" s="104" t="str">
        <f t="shared" si="20"/>
        <v>OK</v>
      </c>
      <c r="H17" s="105" t="str">
        <f t="shared" si="20"/>
        <v>OK</v>
      </c>
      <c r="I17" s="104" t="str">
        <f t="shared" si="20"/>
        <v>OK</v>
      </c>
      <c r="J17" s="105" t="str">
        <f t="shared" si="20"/>
        <v>OK</v>
      </c>
      <c r="K17" s="104" t="str">
        <f t="shared" si="20"/>
        <v>OK</v>
      </c>
      <c r="L17" s="105" t="str">
        <f t="shared" si="20"/>
        <v>OK</v>
      </c>
      <c r="M17" s="104" t="str">
        <f t="shared" si="20"/>
        <v>OK</v>
      </c>
      <c r="N17" s="105" t="str">
        <f t="shared" si="20"/>
        <v>OK</v>
      </c>
      <c r="O17" s="106" t="str">
        <f>IF(N15&gt;0,"OK","OUT OF CASH")</f>
        <v>OK</v>
      </c>
      <c r="P17" s="104" t="str">
        <f t="shared" ref="P17:AA17" si="21">IF(P15&gt;0,"OK","OUT OF CASH")</f>
        <v>OK</v>
      </c>
      <c r="Q17" s="105" t="str">
        <f t="shared" si="21"/>
        <v>OK</v>
      </c>
      <c r="R17" s="104" t="str">
        <f t="shared" si="21"/>
        <v>OK</v>
      </c>
      <c r="S17" s="105" t="str">
        <f t="shared" si="21"/>
        <v>OK</v>
      </c>
      <c r="T17" s="104" t="str">
        <f t="shared" si="21"/>
        <v>OK</v>
      </c>
      <c r="U17" s="105" t="str">
        <f t="shared" si="21"/>
        <v>OK</v>
      </c>
      <c r="V17" s="104" t="str">
        <f t="shared" si="21"/>
        <v>OK</v>
      </c>
      <c r="W17" s="105" t="str">
        <f t="shared" si="21"/>
        <v>OK</v>
      </c>
      <c r="X17" s="104" t="str">
        <f t="shared" si="21"/>
        <v>OK</v>
      </c>
      <c r="Y17" s="105" t="str">
        <f t="shared" si="21"/>
        <v>OK</v>
      </c>
      <c r="Z17" s="104" t="str">
        <f t="shared" si="21"/>
        <v>OK</v>
      </c>
      <c r="AA17" s="105" t="str">
        <f t="shared" si="21"/>
        <v>OK</v>
      </c>
      <c r="AB17" s="106" t="str">
        <f>IF(AA15&gt;0,"OK","OUT OF CASH")</f>
        <v>OK</v>
      </c>
      <c r="AC17" s="104" t="str">
        <f t="shared" ref="AC17:AN17" si="22">IF(AC15&gt;0,"OK","OUT OF CASH")</f>
        <v>OK</v>
      </c>
      <c r="AD17" s="105" t="str">
        <f t="shared" si="22"/>
        <v>OK</v>
      </c>
      <c r="AE17" s="104" t="str">
        <f t="shared" si="22"/>
        <v>OK</v>
      </c>
      <c r="AF17" s="105" t="str">
        <f t="shared" si="22"/>
        <v>OK</v>
      </c>
      <c r="AG17" s="104" t="str">
        <f t="shared" si="22"/>
        <v>OK</v>
      </c>
      <c r="AH17" s="105" t="str">
        <f t="shared" si="22"/>
        <v>OK</v>
      </c>
      <c r="AI17" s="104" t="str">
        <f t="shared" si="22"/>
        <v>OK</v>
      </c>
      <c r="AJ17" s="105" t="str">
        <f t="shared" si="22"/>
        <v>OK</v>
      </c>
      <c r="AK17" s="104" t="str">
        <f t="shared" si="22"/>
        <v>OK</v>
      </c>
      <c r="AL17" s="105" t="str">
        <f t="shared" si="22"/>
        <v>OK</v>
      </c>
      <c r="AM17" s="104" t="str">
        <f t="shared" si="22"/>
        <v>OK</v>
      </c>
      <c r="AN17" s="105" t="str">
        <f t="shared" si="22"/>
        <v>OK</v>
      </c>
      <c r="AO17" s="106" t="str">
        <f>IF(AN15&gt;0,"OK","OUT OF CASH")</f>
        <v>OK</v>
      </c>
      <c r="AP17" s="104" t="str">
        <f t="shared" ref="AP17:BA17" si="23">IF(AP15&gt;0,"OK","OUT OF CASH")</f>
        <v>OK</v>
      </c>
      <c r="AQ17" s="105" t="str">
        <f t="shared" si="23"/>
        <v>OK</v>
      </c>
      <c r="AR17" s="104" t="str">
        <f t="shared" si="23"/>
        <v>OK</v>
      </c>
      <c r="AS17" s="105" t="str">
        <f t="shared" si="23"/>
        <v>OK</v>
      </c>
      <c r="AT17" s="104" t="str">
        <f t="shared" si="23"/>
        <v>OK</v>
      </c>
      <c r="AU17" s="105" t="str">
        <f t="shared" si="23"/>
        <v>OK</v>
      </c>
      <c r="AV17" s="104" t="str">
        <f t="shared" si="23"/>
        <v>OK</v>
      </c>
      <c r="AW17" s="105" t="str">
        <f t="shared" si="23"/>
        <v>OK</v>
      </c>
      <c r="AX17" s="104" t="str">
        <f t="shared" si="23"/>
        <v>OK</v>
      </c>
      <c r="AY17" s="105" t="str">
        <f t="shared" si="23"/>
        <v>OK</v>
      </c>
      <c r="AZ17" s="104" t="str">
        <f t="shared" si="23"/>
        <v>OK</v>
      </c>
      <c r="BA17" s="105" t="str">
        <f t="shared" si="23"/>
        <v>OK</v>
      </c>
      <c r="BB17" s="106" t="str">
        <f>IF(BA15&gt;0,"OK","OUT OF CASH")</f>
        <v>OK</v>
      </c>
      <c r="BC17" s="104" t="str">
        <f t="shared" ref="BC17:BN17" si="24">IF(BC15&gt;0,"OK","OUT OF CASH")</f>
        <v>OK</v>
      </c>
      <c r="BD17" s="105" t="str">
        <f t="shared" si="24"/>
        <v>OK</v>
      </c>
      <c r="BE17" s="104" t="str">
        <f t="shared" si="24"/>
        <v>OK</v>
      </c>
      <c r="BF17" s="105" t="str">
        <f t="shared" si="24"/>
        <v>OK</v>
      </c>
      <c r="BG17" s="104" t="str">
        <f t="shared" si="24"/>
        <v>OK</v>
      </c>
      <c r="BH17" s="105" t="str">
        <f t="shared" si="24"/>
        <v>OK</v>
      </c>
      <c r="BI17" s="104" t="str">
        <f t="shared" si="24"/>
        <v>OK</v>
      </c>
      <c r="BJ17" s="105" t="str">
        <f t="shared" si="24"/>
        <v>OK</v>
      </c>
      <c r="BK17" s="104" t="str">
        <f t="shared" si="24"/>
        <v>OK</v>
      </c>
      <c r="BL17" s="105" t="str">
        <f t="shared" si="24"/>
        <v>OK</v>
      </c>
      <c r="BM17" s="104" t="str">
        <f t="shared" si="24"/>
        <v>OK</v>
      </c>
      <c r="BN17" s="105" t="str">
        <f t="shared" si="24"/>
        <v>OK</v>
      </c>
      <c r="BO17" s="106" t="str">
        <f>IF(BN15&gt;0,"OK","OUT OF CASH")</f>
        <v>OK</v>
      </c>
    </row>
  </sheetData>
  <mergeCells count="7">
    <mergeCell ref="AP3:BB3"/>
    <mergeCell ref="BC3:BO3"/>
    <mergeCell ref="B1:H1"/>
    <mergeCell ref="B2:H2"/>
    <mergeCell ref="C3:O3"/>
    <mergeCell ref="P3:AB3"/>
    <mergeCell ref="AC3:AO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Cover</vt:lpstr>
      <vt:lpstr>Assumptions</vt:lpstr>
      <vt:lpstr>Startup Costs</vt:lpstr>
      <vt:lpstr>Pro-Forma</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Justin Eggar</cp:lastModifiedBy>
  <cp:revision>0</cp:revision>
  <dcterms:created xsi:type="dcterms:W3CDTF">2026-02-17T20:01:04Z</dcterms:created>
  <dcterms:modified xsi:type="dcterms:W3CDTF">2026-02-17T20:32:08Z</dcterms:modified>
  <dc:language>en-US</dc:language>
</cp:coreProperties>
</file>